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onsultor218\Downloads\Archivos PGUR\2. Temas transversales DPP\14. Info en el Portal PI\"/>
    </mc:Choice>
  </mc:AlternateContent>
  <xr:revisionPtr revIDLastSave="0" documentId="13_ncr:1_{F0A045AB-1D5D-4CF6-ABCB-C93BE96781AC}" xr6:coauthVersionLast="47" xr6:coauthVersionMax="47" xr10:uidLastSave="{00000000-0000-0000-0000-000000000000}"/>
  <bookViews>
    <workbookView xWindow="-120" yWindow="-120" windowWidth="24240" windowHeight="13020" tabRatio="599" xr2:uid="{00000000-000D-0000-FFFF-FFFF00000000}"/>
  </bookViews>
  <sheets>
    <sheet name="PAG.1" sheetId="2" r:id="rId1"/>
  </sheets>
  <definedNames>
    <definedName name="_xlnm._FilterDatabase" localSheetId="0" hidden="1">PAG.1!$A$9:$I$10</definedName>
    <definedName name="_xlnm.Print_Area" localSheetId="0">PAG.1!$A$1:$I$746</definedName>
    <definedName name="_xlnm.Print_Titles" localSheetId="0">PAG.1!$1:$10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3" i="2" l="1"/>
  <c r="H468" i="2"/>
  <c r="F563" i="2" l="1"/>
  <c r="H552" i="2"/>
  <c r="H451" i="2"/>
  <c r="B464" i="2"/>
  <c r="B465" i="2" s="1"/>
  <c r="B466" i="2" s="1"/>
  <c r="B467" i="2" s="1"/>
  <c r="H459" i="2"/>
  <c r="K273" i="2"/>
  <c r="H458" i="2"/>
  <c r="H525" i="2"/>
  <c r="H457" i="2"/>
  <c r="H456" i="2"/>
  <c r="H455" i="2"/>
  <c r="H524" i="2"/>
  <c r="H452" i="2"/>
  <c r="F485" i="2"/>
  <c r="J483" i="2" s="1"/>
  <c r="H376" i="2"/>
  <c r="K376" i="2" s="1"/>
  <c r="H422" i="2"/>
  <c r="H377" i="2"/>
  <c r="K377" i="2" s="1"/>
  <c r="H375" i="2"/>
  <c r="K375" i="2" s="1"/>
  <c r="H523" i="2"/>
  <c r="H424" i="2"/>
  <c r="H408" i="2"/>
  <c r="A326" i="2"/>
  <c r="A327" i="2" s="1"/>
  <c r="A328" i="2" s="1"/>
  <c r="A331" i="2" s="1"/>
  <c r="A332" i="2" s="1"/>
  <c r="A335" i="2" s="1"/>
  <c r="A336" i="2" s="1"/>
  <c r="A342" i="2" s="1"/>
  <c r="A350" i="2" s="1"/>
  <c r="A351"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7" i="2" s="1"/>
  <c r="H521" i="2"/>
  <c r="H32" i="2"/>
  <c r="H47" i="2"/>
  <c r="H52" i="2"/>
  <c r="K52" i="2" s="1"/>
  <c r="H65" i="2"/>
  <c r="K65" i="2" s="1"/>
  <c r="H77" i="2"/>
  <c r="K77" i="2" s="1"/>
  <c r="H81" i="2"/>
  <c r="K81" i="2" s="1"/>
  <c r="H84" i="2"/>
  <c r="K84" i="2" s="1"/>
  <c r="H122" i="2"/>
  <c r="H143" i="2" s="1"/>
  <c r="H145" i="2"/>
  <c r="K145" i="2" s="1"/>
  <c r="H190" i="2"/>
  <c r="K190" i="2" s="1"/>
  <c r="H191" i="2"/>
  <c r="K191" i="2" s="1"/>
  <c r="H201" i="2"/>
  <c r="H206" i="2"/>
  <c r="H218" i="2"/>
  <c r="K218" i="2" s="1"/>
  <c r="H229" i="2"/>
  <c r="H232" i="2"/>
  <c r="K232" i="2" s="1"/>
  <c r="H240" i="2"/>
  <c r="K240" i="2" s="1"/>
  <c r="H256" i="2"/>
  <c r="H266" i="2"/>
  <c r="H275" i="2"/>
  <c r="H281" i="2"/>
  <c r="H287" i="2" s="1"/>
  <c r="H297" i="2"/>
  <c r="H305" i="2"/>
  <c r="H310" i="2"/>
  <c r="H318" i="2"/>
  <c r="H366" i="2"/>
  <c r="H370" i="2"/>
  <c r="K370" i="2" s="1"/>
  <c r="H372" i="2"/>
  <c r="K372" i="2" s="1"/>
  <c r="H382" i="2"/>
  <c r="K382" i="2" s="1"/>
  <c r="H385" i="2"/>
  <c r="K385" i="2" s="1"/>
  <c r="H393" i="2"/>
  <c r="H394" i="2"/>
  <c r="H395" i="2"/>
  <c r="H396" i="2"/>
  <c r="H397" i="2"/>
  <c r="H399" i="2"/>
  <c r="H406" i="2"/>
  <c r="H407" i="2"/>
  <c r="F429" i="2"/>
  <c r="H429" i="2" s="1"/>
  <c r="H442" i="2"/>
  <c r="H479" i="2"/>
  <c r="H499" i="2"/>
  <c r="H503" i="2" s="1"/>
  <c r="H511" i="2"/>
  <c r="H352" i="2"/>
  <c r="B535" i="2"/>
  <c r="B536" i="2" s="1"/>
  <c r="B537" i="2" s="1"/>
  <c r="B538" i="2" s="1"/>
  <c r="B539" i="2" s="1"/>
  <c r="B540" i="2" s="1"/>
  <c r="B541" i="2" s="1"/>
  <c r="B542" i="2" s="1"/>
  <c r="B543" i="2" s="1"/>
  <c r="B544" i="2" s="1"/>
  <c r="B545" i="2" s="1"/>
  <c r="B546" i="2" s="1"/>
  <c r="B547" i="2" s="1"/>
  <c r="B548" i="2" s="1"/>
  <c r="B549" i="2" s="1"/>
  <c r="B550" i="2" s="1"/>
  <c r="B551" i="2" s="1"/>
  <c r="B356" i="2"/>
  <c r="B357" i="2" s="1"/>
  <c r="B358" i="2" s="1"/>
  <c r="B359" i="2" s="1"/>
  <c r="B360" i="2" s="1"/>
  <c r="B361" i="2" s="1"/>
  <c r="B362" i="2" s="1"/>
  <c r="B363" i="2" s="1"/>
  <c r="B364" i="2" s="1"/>
  <c r="B365" i="2" s="1"/>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386" i="2" s="1"/>
  <c r="B387" i="2" s="1"/>
  <c r="B388" i="2" s="1"/>
  <c r="B389" i="2" s="1"/>
  <c r="B390" i="2" s="1"/>
  <c r="B391" i="2" s="1"/>
  <c r="B392" i="2" s="1"/>
  <c r="B393" i="2" s="1"/>
  <c r="B394" i="2" s="1"/>
  <c r="B395" i="2" s="1"/>
  <c r="B396" i="2" s="1"/>
  <c r="B397" i="2" s="1"/>
  <c r="B398" i="2" s="1"/>
  <c r="B399" i="2" s="1"/>
  <c r="B400" i="2" s="1"/>
  <c r="B401" i="2" s="1"/>
  <c r="B402" i="2" s="1"/>
  <c r="B403" i="2" s="1"/>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43" i="2" s="1"/>
  <c r="B444" i="2" s="1"/>
  <c r="B445" i="2" s="1"/>
  <c r="B446" i="2" s="1"/>
  <c r="B447" i="2" s="1"/>
  <c r="B448" i="2" s="1"/>
  <c r="B449" i="2" s="1"/>
  <c r="B450" i="2" s="1"/>
  <c r="B451" i="2" s="1"/>
  <c r="B452" i="2" s="1"/>
  <c r="B453" i="2" s="1"/>
  <c r="B454" i="2" s="1"/>
  <c r="B524" i="2" s="1"/>
  <c r="B455" i="2" s="1"/>
  <c r="B456" i="2" s="1"/>
  <c r="B457" i="2" s="1"/>
  <c r="B458" i="2" s="1"/>
  <c r="B459" i="2" s="1"/>
  <c r="B460" i="2" s="1"/>
  <c r="B461" i="2" s="1"/>
  <c r="B462" i="2" s="1"/>
  <c r="K200" i="2"/>
  <c r="F18" i="2"/>
  <c r="F352" i="2"/>
  <c r="F47" i="2"/>
  <c r="F305" i="2"/>
  <c r="F313" i="2"/>
  <c r="F343" i="2"/>
  <c r="F511" i="2"/>
  <c r="F479" i="2"/>
  <c r="F335" i="2"/>
  <c r="F336" i="2"/>
  <c r="B336" i="2"/>
  <c r="B332" i="2"/>
  <c r="F332" i="2"/>
  <c r="F333" i="2" s="1"/>
  <c r="F328" i="2"/>
  <c r="F326" i="2"/>
  <c r="F327" i="2"/>
  <c r="K563" i="2"/>
  <c r="J563" i="2"/>
  <c r="F322" i="2"/>
  <c r="F324" i="2" s="1"/>
  <c r="B557" i="2"/>
  <c r="B558" i="2" s="1"/>
  <c r="B559" i="2" s="1"/>
  <c r="B560" i="2" s="1"/>
  <c r="B561" i="2" s="1"/>
  <c r="K552" i="2"/>
  <c r="J552" i="2"/>
  <c r="F371" i="2"/>
  <c r="F315" i="2"/>
  <c r="F318" i="2" s="1"/>
  <c r="F309" i="2"/>
  <c r="F310" i="2" s="1"/>
  <c r="J16" i="2"/>
  <c r="A17" i="2"/>
  <c r="A22" i="2" s="1"/>
  <c r="A23" i="2" s="1"/>
  <c r="A24" i="2" s="1"/>
  <c r="A25" i="2" s="1"/>
  <c r="A26" i="2" s="1"/>
  <c r="A27" i="2" s="1"/>
  <c r="A28" i="2" s="1"/>
  <c r="A29" i="2" s="1"/>
  <c r="A30" i="2" s="1"/>
  <c r="A31" i="2" s="1"/>
  <c r="A34" i="2" s="1"/>
  <c r="A35" i="2" s="1"/>
  <c r="A36" i="2" s="1"/>
  <c r="A37" i="2" s="1"/>
  <c r="A38" i="2" s="1"/>
  <c r="A39" i="2" s="1"/>
  <c r="A40" i="2" s="1"/>
  <c r="A41" i="2" s="1"/>
  <c r="A42" i="2" s="1"/>
  <c r="A43" i="2" s="1"/>
  <c r="A44" i="2" s="1"/>
  <c r="A45" i="2" s="1"/>
  <c r="A46"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4" i="2" s="1"/>
  <c r="A205" i="2" s="1"/>
  <c r="A206" i="2" s="1"/>
  <c r="A207" i="2" s="1"/>
  <c r="A208" i="2" s="1"/>
  <c r="A209" i="2" s="1"/>
  <c r="A210" i="2" s="1"/>
  <c r="A211" i="2" s="1"/>
  <c r="A212" i="2" s="1"/>
  <c r="A213" i="2" s="1"/>
  <c r="A214" i="2" s="1"/>
  <c r="A215" i="2" s="1"/>
  <c r="A216" i="2" s="1"/>
  <c r="A217" i="2" s="1"/>
  <c r="A218" i="2" s="1"/>
  <c r="A219" i="2" s="1"/>
  <c r="A222" i="2" s="1"/>
  <c r="A223" i="2" s="1"/>
  <c r="A224" i="2" s="1"/>
  <c r="A225" i="2" s="1"/>
  <c r="A226" i="2" s="1"/>
  <c r="A227" i="2" s="1"/>
  <c r="A228" i="2" s="1"/>
  <c r="A231" i="2" s="1"/>
  <c r="A232" i="2" s="1"/>
  <c r="A233" i="2" s="1"/>
  <c r="A234" i="2" s="1"/>
  <c r="A235" i="2" s="1"/>
  <c r="A236" i="2" s="1"/>
  <c r="A237" i="2" s="1"/>
  <c r="A238" i="2" s="1"/>
  <c r="A239" i="2" s="1"/>
  <c r="A240" i="2" s="1"/>
  <c r="A241" i="2" s="1"/>
  <c r="A242" i="2" s="1"/>
  <c r="A243" i="2" s="1"/>
  <c r="A246" i="2" s="1"/>
  <c r="A247" i="2" s="1"/>
  <c r="A248" i="2" s="1"/>
  <c r="A249" i="2" s="1"/>
  <c r="A250" i="2" s="1"/>
  <c r="A251" i="2" s="1"/>
  <c r="A252" i="2" s="1"/>
  <c r="A253" i="2" s="1"/>
  <c r="A254" i="2" s="1"/>
  <c r="A255" i="2" s="1"/>
  <c r="A258" i="2" s="1"/>
  <c r="A259" i="2" s="1"/>
  <c r="A260" i="2" s="1"/>
  <c r="A261" i="2" s="1"/>
  <c r="A262" i="2" s="1"/>
  <c r="A263" i="2" s="1"/>
  <c r="A264" i="2" s="1"/>
  <c r="A265" i="2" s="1"/>
  <c r="A268" i="2" s="1"/>
  <c r="A269" i="2" s="1"/>
  <c r="A270" i="2" s="1"/>
  <c r="A271" i="2" s="1"/>
  <c r="A272" i="2" s="1"/>
  <c r="A273" i="2" s="1"/>
  <c r="A274" i="2" s="1"/>
  <c r="A277" i="2" s="1"/>
  <c r="A278" i="2" s="1"/>
  <c r="A279" i="2" s="1"/>
  <c r="A280" i="2" s="1"/>
  <c r="A281" i="2" s="1"/>
  <c r="A282" i="2" s="1"/>
  <c r="A283" i="2" s="1"/>
  <c r="A284" i="2" s="1"/>
  <c r="A285" i="2" s="1"/>
  <c r="A286" i="2" s="1"/>
  <c r="A289" i="2" s="1"/>
  <c r="A290" i="2" s="1"/>
  <c r="A291" i="2" s="1"/>
  <c r="A292" i="2" s="1"/>
  <c r="A293" i="2" s="1"/>
  <c r="A294" i="2" s="1"/>
  <c r="A295" i="2" s="1"/>
  <c r="A296" i="2" s="1"/>
  <c r="A299" i="2" s="1"/>
  <c r="A300" i="2" s="1"/>
  <c r="A301" i="2" s="1"/>
  <c r="A302" i="2" s="1"/>
  <c r="A303" i="2" s="1"/>
  <c r="A304" i="2" s="1"/>
  <c r="A307" i="2" s="1"/>
  <c r="A308" i="2" s="1"/>
  <c r="A309" i="2" s="1"/>
  <c r="A312" i="2" s="1"/>
  <c r="A315" i="2" s="1"/>
  <c r="A316" i="2" s="1"/>
  <c r="A317" i="2" s="1"/>
  <c r="A320" i="2" s="1"/>
  <c r="A321" i="2" s="1"/>
  <c r="J17" i="2"/>
  <c r="J19" i="2"/>
  <c r="J20" i="2"/>
  <c r="J21" i="2"/>
  <c r="J22" i="2"/>
  <c r="B23" i="2"/>
  <c r="B24" i="2" s="1"/>
  <c r="B25" i="2" s="1"/>
  <c r="B26" i="2" s="1"/>
  <c r="B27" i="2" s="1"/>
  <c r="B28" i="2" s="1"/>
  <c r="B29" i="2" s="1"/>
  <c r="B30" i="2" s="1"/>
  <c r="B31" i="2" s="1"/>
  <c r="J23" i="2"/>
  <c r="K23" i="2"/>
  <c r="F24" i="2"/>
  <c r="J24" i="2" s="1"/>
  <c r="K24" i="2"/>
  <c r="J25" i="2"/>
  <c r="K25" i="2"/>
  <c r="J26" i="2"/>
  <c r="K26" i="2"/>
  <c r="J27" i="2"/>
  <c r="J28" i="2"/>
  <c r="K28" i="2"/>
  <c r="J29" i="2"/>
  <c r="K29" i="2"/>
  <c r="J30" i="2"/>
  <c r="K30" i="2"/>
  <c r="J31" i="2"/>
  <c r="J34" i="2"/>
  <c r="B35" i="2"/>
  <c r="B36" i="2" s="1"/>
  <c r="B37" i="2" s="1"/>
  <c r="B38" i="2" s="1"/>
  <c r="B39" i="2" s="1"/>
  <c r="B40" i="2" s="1"/>
  <c r="B41" i="2" s="1"/>
  <c r="B42" i="2" s="1"/>
  <c r="B43" i="2" s="1"/>
  <c r="B44" i="2" s="1"/>
  <c r="B45" i="2" s="1"/>
  <c r="B46" i="2" s="1"/>
  <c r="J35" i="2"/>
  <c r="K35" i="2"/>
  <c r="J36" i="2"/>
  <c r="K36" i="2"/>
  <c r="J37" i="2"/>
  <c r="K37" i="2"/>
  <c r="J38" i="2"/>
  <c r="K38" i="2"/>
  <c r="J39" i="2"/>
  <c r="K39" i="2"/>
  <c r="J40" i="2"/>
  <c r="K40" i="2"/>
  <c r="J41" i="2"/>
  <c r="K41" i="2"/>
  <c r="J42" i="2"/>
  <c r="K42" i="2"/>
  <c r="J43" i="2"/>
  <c r="K43" i="2"/>
  <c r="J44" i="2"/>
  <c r="K44" i="2"/>
  <c r="J45" i="2"/>
  <c r="K45" i="2"/>
  <c r="J46" i="2"/>
  <c r="K46" i="2"/>
  <c r="J48" i="2"/>
  <c r="K48" i="2"/>
  <c r="J49" i="2"/>
  <c r="K49" i="2"/>
  <c r="B50" i="2"/>
  <c r="B51" i="2" s="1"/>
  <c r="B52" i="2" s="1"/>
  <c r="B53" i="2" s="1"/>
  <c r="B54" i="2" s="1"/>
  <c r="B55" i="2" s="1"/>
  <c r="B56" i="2" s="1"/>
  <c r="B57" i="2" s="1"/>
  <c r="B58" i="2" s="1"/>
  <c r="B59" i="2" s="1"/>
  <c r="B60" i="2" s="1"/>
  <c r="B61" i="2" s="1"/>
  <c r="B62" i="2" s="1"/>
  <c r="B63" i="2" s="1"/>
  <c r="B64" i="2" s="1"/>
  <c r="B65" i="2" s="1"/>
  <c r="B66" i="2" s="1"/>
  <c r="B67" i="2" s="1"/>
  <c r="B68" i="2" s="1"/>
  <c r="B69" i="2" s="1"/>
  <c r="B70" i="2" s="1"/>
  <c r="B71" i="2" s="1"/>
  <c r="J50" i="2"/>
  <c r="K50" i="2"/>
  <c r="J51" i="2"/>
  <c r="K51" i="2"/>
  <c r="J52" i="2"/>
  <c r="J53" i="2"/>
  <c r="K53" i="2"/>
  <c r="J54" i="2"/>
  <c r="K54" i="2"/>
  <c r="J55" i="2"/>
  <c r="K55" i="2"/>
  <c r="J56" i="2"/>
  <c r="K56" i="2"/>
  <c r="J57" i="2"/>
  <c r="K57" i="2"/>
  <c r="J58" i="2"/>
  <c r="K58" i="2"/>
  <c r="J59" i="2"/>
  <c r="K59" i="2"/>
  <c r="J60" i="2"/>
  <c r="K60" i="2"/>
  <c r="J61" i="2"/>
  <c r="K61" i="2"/>
  <c r="J62" i="2"/>
  <c r="K62" i="2"/>
  <c r="J63" i="2"/>
  <c r="K63" i="2"/>
  <c r="J64" i="2"/>
  <c r="K64" i="2"/>
  <c r="F65" i="2"/>
  <c r="J65" i="2" s="1"/>
  <c r="F66" i="2"/>
  <c r="J66" i="2" s="1"/>
  <c r="K66" i="2"/>
  <c r="F67" i="2"/>
  <c r="J67" i="2" s="1"/>
  <c r="K67" i="2"/>
  <c r="J68" i="2"/>
  <c r="K68" i="2"/>
  <c r="F69" i="2"/>
  <c r="J69" i="2" s="1"/>
  <c r="K69" i="2"/>
  <c r="J70" i="2"/>
  <c r="K70" i="2"/>
  <c r="F71" i="2"/>
  <c r="J71" i="2" s="1"/>
  <c r="K71" i="2"/>
  <c r="J73" i="2"/>
  <c r="K73" i="2"/>
  <c r="F74" i="2"/>
  <c r="J74" i="2" s="1"/>
  <c r="K74" i="2"/>
  <c r="B75" i="2"/>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J75" i="2"/>
  <c r="K75" i="2"/>
  <c r="F76" i="2"/>
  <c r="J76" i="2" s="1"/>
  <c r="K76" i="2"/>
  <c r="F77" i="2"/>
  <c r="J77" i="2" s="1"/>
  <c r="J78" i="2"/>
  <c r="K78" i="2"/>
  <c r="J79" i="2"/>
  <c r="K79" i="2"/>
  <c r="F80" i="2"/>
  <c r="J80" i="2" s="1"/>
  <c r="K80" i="2"/>
  <c r="J81" i="2"/>
  <c r="F82" i="2"/>
  <c r="J82" i="2" s="1"/>
  <c r="K82" i="2"/>
  <c r="J83" i="2"/>
  <c r="K83" i="2"/>
  <c r="F84" i="2"/>
  <c r="J84" i="2" s="1"/>
  <c r="F85" i="2"/>
  <c r="J85" i="2" s="1"/>
  <c r="K85" i="2"/>
  <c r="J86" i="2"/>
  <c r="K86" i="2"/>
  <c r="J87" i="2"/>
  <c r="K87" i="2"/>
  <c r="F88" i="2"/>
  <c r="J88" i="2" s="1"/>
  <c r="K88" i="2"/>
  <c r="F89" i="2"/>
  <c r="J89" i="2" s="1"/>
  <c r="K89" i="2"/>
  <c r="F90" i="2"/>
  <c r="J90" i="2" s="1"/>
  <c r="K90" i="2"/>
  <c r="J91" i="2"/>
  <c r="K91" i="2"/>
  <c r="J92" i="2"/>
  <c r="K92" i="2"/>
  <c r="J93" i="2"/>
  <c r="K93" i="2"/>
  <c r="J94" i="2"/>
  <c r="K94" i="2"/>
  <c r="J95" i="2"/>
  <c r="K95" i="2"/>
  <c r="F96" i="2"/>
  <c r="J96" i="2" s="1"/>
  <c r="K96" i="2"/>
  <c r="J97" i="2"/>
  <c r="K97" i="2"/>
  <c r="F98" i="2"/>
  <c r="J98" i="2" s="1"/>
  <c r="K98" i="2"/>
  <c r="J99" i="2"/>
  <c r="K99" i="2"/>
  <c r="J100" i="2"/>
  <c r="K100" i="2"/>
  <c r="J101" i="2"/>
  <c r="K101" i="2"/>
  <c r="J102" i="2"/>
  <c r="K102" i="2"/>
  <c r="J103" i="2"/>
  <c r="K103" i="2"/>
  <c r="J105" i="2"/>
  <c r="K105" i="2"/>
  <c r="J106" i="2"/>
  <c r="K106" i="2"/>
  <c r="B107" i="2"/>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F107" i="2"/>
  <c r="J107" i="2" s="1"/>
  <c r="K107" i="2"/>
  <c r="F108" i="2"/>
  <c r="J108" i="2" s="1"/>
  <c r="K108" i="2"/>
  <c r="J109" i="2"/>
  <c r="K109" i="2"/>
  <c r="F110" i="2"/>
  <c r="J110" i="2" s="1"/>
  <c r="K110" i="2"/>
  <c r="J111" i="2"/>
  <c r="K111" i="2"/>
  <c r="J112" i="2"/>
  <c r="K112" i="2"/>
  <c r="J113" i="2"/>
  <c r="K113" i="2"/>
  <c r="J114" i="2"/>
  <c r="K114" i="2"/>
  <c r="F116" i="2"/>
  <c r="J116" i="2" s="1"/>
  <c r="K116" i="2"/>
  <c r="J117" i="2"/>
  <c r="K117" i="2"/>
  <c r="J118" i="2"/>
  <c r="K118" i="2"/>
  <c r="J119" i="2"/>
  <c r="K119" i="2"/>
  <c r="J120" i="2"/>
  <c r="K120" i="2"/>
  <c r="J121" i="2"/>
  <c r="K121" i="2"/>
  <c r="J122" i="2"/>
  <c r="J123" i="2"/>
  <c r="K123" i="2"/>
  <c r="J124" i="2"/>
  <c r="K124" i="2"/>
  <c r="F125" i="2"/>
  <c r="J125" i="2" s="1"/>
  <c r="K125" i="2"/>
  <c r="F126" i="2"/>
  <c r="J126" i="2" s="1"/>
  <c r="K126" i="2"/>
  <c r="J127" i="2"/>
  <c r="K127" i="2"/>
  <c r="J128" i="2"/>
  <c r="K128" i="2"/>
  <c r="F129" i="2"/>
  <c r="J129" i="2" s="1"/>
  <c r="K129" i="2"/>
  <c r="F130" i="2"/>
  <c r="J130" i="2" s="1"/>
  <c r="K130" i="2"/>
  <c r="F131" i="2"/>
  <c r="J131" i="2" s="1"/>
  <c r="K131" i="2"/>
  <c r="F133" i="2"/>
  <c r="J133" i="2" s="1"/>
  <c r="K133" i="2"/>
  <c r="F134" i="2"/>
  <c r="J134" i="2" s="1"/>
  <c r="K134" i="2"/>
  <c r="J135" i="2"/>
  <c r="K135" i="2"/>
  <c r="F136" i="2"/>
  <c r="J136" i="2" s="1"/>
  <c r="K136" i="2"/>
  <c r="F137" i="2"/>
  <c r="J137" i="2" s="1"/>
  <c r="K137" i="2"/>
  <c r="F138" i="2"/>
  <c r="J138" i="2" s="1"/>
  <c r="K138" i="2"/>
  <c r="J139" i="2"/>
  <c r="K139" i="2"/>
  <c r="J140" i="2"/>
  <c r="K140" i="2"/>
  <c r="J141" i="2"/>
  <c r="K141" i="2"/>
  <c r="J142" i="2"/>
  <c r="K142" i="2"/>
  <c r="J144" i="2"/>
  <c r="K144" i="2"/>
  <c r="F145" i="2"/>
  <c r="F146" i="2"/>
  <c r="J146" i="2" s="1"/>
  <c r="F154" i="2"/>
  <c r="J154" i="2" s="1"/>
  <c r="F161" i="2"/>
  <c r="J161" i="2" s="1"/>
  <c r="F164" i="2"/>
  <c r="J164" i="2" s="1"/>
  <c r="F166" i="2"/>
  <c r="J166" i="2" s="1"/>
  <c r="F169" i="2"/>
  <c r="J169" i="2" s="1"/>
  <c r="B146" i="2"/>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K146" i="2"/>
  <c r="J147" i="2"/>
  <c r="K147" i="2"/>
  <c r="J148" i="2"/>
  <c r="K148" i="2"/>
  <c r="J149" i="2"/>
  <c r="K149" i="2"/>
  <c r="J150" i="2"/>
  <c r="K150" i="2"/>
  <c r="J151" i="2"/>
  <c r="K151" i="2"/>
  <c r="J152" i="2"/>
  <c r="K152" i="2"/>
  <c r="J153" i="2"/>
  <c r="K153" i="2"/>
  <c r="K154" i="2"/>
  <c r="J155" i="2"/>
  <c r="K155" i="2"/>
  <c r="J156" i="2"/>
  <c r="K156" i="2"/>
  <c r="J157" i="2"/>
  <c r="K157" i="2"/>
  <c r="J158" i="2"/>
  <c r="K158" i="2"/>
  <c r="J159" i="2"/>
  <c r="K159" i="2"/>
  <c r="J160" i="2"/>
  <c r="K160" i="2"/>
  <c r="K161" i="2"/>
  <c r="J162" i="2"/>
  <c r="K162" i="2"/>
  <c r="J163" i="2"/>
  <c r="K163" i="2"/>
  <c r="K164" i="2"/>
  <c r="J165" i="2"/>
  <c r="K165" i="2"/>
  <c r="K166" i="2"/>
  <c r="J167" i="2"/>
  <c r="K167" i="2"/>
  <c r="J168" i="2"/>
  <c r="K168" i="2"/>
  <c r="K169" i="2"/>
  <c r="J170" i="2"/>
  <c r="K170" i="2"/>
  <c r="J174" i="2"/>
  <c r="K174" i="2"/>
  <c r="J175" i="2"/>
  <c r="K175" i="2"/>
  <c r="J176" i="2"/>
  <c r="K176" i="2"/>
  <c r="J178" i="2"/>
  <c r="K178" i="2"/>
  <c r="J179" i="2"/>
  <c r="K179" i="2"/>
  <c r="J180" i="2"/>
  <c r="K180" i="2"/>
  <c r="J181" i="2"/>
  <c r="K181" i="2"/>
  <c r="J182" i="2"/>
  <c r="K182" i="2"/>
  <c r="J183" i="2"/>
  <c r="K183" i="2"/>
  <c r="J184" i="2"/>
  <c r="K184" i="2"/>
  <c r="J185" i="2"/>
  <c r="K185" i="2"/>
  <c r="J186" i="2"/>
  <c r="K186" i="2"/>
  <c r="F187" i="2"/>
  <c r="J187" i="2" s="1"/>
  <c r="K187" i="2"/>
  <c r="F188" i="2"/>
  <c r="J188" i="2" s="1"/>
  <c r="K188" i="2"/>
  <c r="J189" i="2"/>
  <c r="K189" i="2"/>
  <c r="J190" i="2"/>
  <c r="J191" i="2"/>
  <c r="F192" i="2"/>
  <c r="J192" i="2" s="1"/>
  <c r="K192" i="2"/>
  <c r="J193" i="2"/>
  <c r="K193" i="2"/>
  <c r="J194" i="2"/>
  <c r="K194" i="2"/>
  <c r="B195" i="2"/>
  <c r="B196" i="2" s="1"/>
  <c r="B197" i="2" s="1"/>
  <c r="B198" i="2" s="1"/>
  <c r="B199" i="2" s="1"/>
  <c r="B200" i="2" s="1"/>
  <c r="B201" i="2" s="1"/>
  <c r="J195" i="2"/>
  <c r="K195" i="2"/>
  <c r="J196" i="2"/>
  <c r="K196" i="2"/>
  <c r="J197" i="2"/>
  <c r="K197" i="2"/>
  <c r="F198" i="2"/>
  <c r="J198" i="2" s="1"/>
  <c r="F199" i="2"/>
  <c r="J199" i="2" s="1"/>
  <c r="F201" i="2"/>
  <c r="J201" i="2" s="1"/>
  <c r="K198" i="2"/>
  <c r="K199" i="2"/>
  <c r="J200" i="2"/>
  <c r="J203" i="2"/>
  <c r="K203" i="2"/>
  <c r="F204" i="2"/>
  <c r="J204" i="2" s="1"/>
  <c r="K204" i="2"/>
  <c r="J205" i="2"/>
  <c r="K205" i="2"/>
  <c r="F206" i="2"/>
  <c r="J206" i="2" s="1"/>
  <c r="B207" i="2"/>
  <c r="B208" i="2" s="1"/>
  <c r="B209" i="2" s="1"/>
  <c r="B210" i="2" s="1"/>
  <c r="B211" i="2" s="1"/>
  <c r="B212" i="2" s="1"/>
  <c r="B213" i="2" s="1"/>
  <c r="B214" i="2" s="1"/>
  <c r="B215" i="2" s="1"/>
  <c r="B216" i="2" s="1"/>
  <c r="B217" i="2" s="1"/>
  <c r="B218" i="2" s="1"/>
  <c r="B219" i="2" s="1"/>
  <c r="F207" i="2"/>
  <c r="J207" i="2" s="1"/>
  <c r="K207" i="2"/>
  <c r="J208" i="2"/>
  <c r="K208" i="2"/>
  <c r="J209" i="2"/>
  <c r="K209" i="2"/>
  <c r="J210" i="2"/>
  <c r="K210" i="2"/>
  <c r="J211" i="2"/>
  <c r="K211" i="2"/>
  <c r="F212" i="2"/>
  <c r="J212" i="2" s="1"/>
  <c r="K212" i="2"/>
  <c r="J213" i="2"/>
  <c r="K213" i="2"/>
  <c r="J214" i="2"/>
  <c r="K214" i="2"/>
  <c r="J215" i="2"/>
  <c r="K215" i="2"/>
  <c r="J216" i="2"/>
  <c r="K216" i="2"/>
  <c r="F217" i="2"/>
  <c r="J217" i="2" s="1"/>
  <c r="K217" i="2"/>
  <c r="F218" i="2"/>
  <c r="J218" i="2" s="1"/>
  <c r="J219" i="2"/>
  <c r="K219" i="2"/>
  <c r="J221" i="2"/>
  <c r="K221" i="2"/>
  <c r="B222" i="2"/>
  <c r="B223" i="2" s="1"/>
  <c r="B224" i="2" s="1"/>
  <c r="B225" i="2" s="1"/>
  <c r="B226" i="2" s="1"/>
  <c r="B227" i="2" s="1"/>
  <c r="B228" i="2" s="1"/>
  <c r="F222" i="2"/>
  <c r="J222" i="2" s="1"/>
  <c r="F223" i="2"/>
  <c r="J223" i="2" s="1"/>
  <c r="K222" i="2"/>
  <c r="K223" i="2"/>
  <c r="J225" i="2"/>
  <c r="K225" i="2"/>
  <c r="J226" i="2"/>
  <c r="K226" i="2"/>
  <c r="J227" i="2"/>
  <c r="K227" i="2"/>
  <c r="J228" i="2"/>
  <c r="K228" i="2"/>
  <c r="J230" i="2"/>
  <c r="K230" i="2"/>
  <c r="B231" i="2"/>
  <c r="B232" i="2" s="1"/>
  <c r="B233" i="2" s="1"/>
  <c r="B234" i="2" s="1"/>
  <c r="B235" i="2" s="1"/>
  <c r="B236" i="2" s="1"/>
  <c r="B237" i="2" s="1"/>
  <c r="B238" i="2" s="1"/>
  <c r="B239" i="2" s="1"/>
  <c r="B240" i="2" s="1"/>
  <c r="B241" i="2" s="1"/>
  <c r="B242" i="2" s="1"/>
  <c r="B243" i="2" s="1"/>
  <c r="F231" i="2"/>
  <c r="J231" i="2" s="1"/>
  <c r="F232" i="2"/>
  <c r="J232" i="2" s="1"/>
  <c r="F233" i="2"/>
  <c r="J233" i="2" s="1"/>
  <c r="F234" i="2"/>
  <c r="J234" i="2" s="1"/>
  <c r="F240" i="2"/>
  <c r="J240" i="2" s="1"/>
  <c r="F241" i="2"/>
  <c r="J241" i="2" s="1"/>
  <c r="K231" i="2"/>
  <c r="K233" i="2"/>
  <c r="K234" i="2"/>
  <c r="J235" i="2"/>
  <c r="K235" i="2"/>
  <c r="J236" i="2"/>
  <c r="K236" i="2"/>
  <c r="J237" i="2"/>
  <c r="K237" i="2"/>
  <c r="J238" i="2"/>
  <c r="K238" i="2"/>
  <c r="J239" i="2"/>
  <c r="K239" i="2"/>
  <c r="K241" i="2"/>
  <c r="J242" i="2"/>
  <c r="K242" i="2"/>
  <c r="J243" i="2"/>
  <c r="K243" i="2"/>
  <c r="J245" i="2"/>
  <c r="K245" i="2"/>
  <c r="J246" i="2"/>
  <c r="K246" i="2"/>
  <c r="B247" i="2"/>
  <c r="B248" i="2" s="1"/>
  <c r="B249" i="2" s="1"/>
  <c r="B250" i="2" s="1"/>
  <c r="B251" i="2" s="1"/>
  <c r="B252" i="2" s="1"/>
  <c r="B253" i="2" s="1"/>
  <c r="B254" i="2" s="1"/>
  <c r="B255" i="2" s="1"/>
  <c r="J247" i="2"/>
  <c r="K247" i="2"/>
  <c r="F248" i="2"/>
  <c r="F250" i="2"/>
  <c r="J250" i="2" s="1"/>
  <c r="F252" i="2"/>
  <c r="J252" i="2" s="1"/>
  <c r="F254" i="2"/>
  <c r="J254" i="2" s="1"/>
  <c r="K248" i="2"/>
  <c r="J249" i="2"/>
  <c r="K249" i="2"/>
  <c r="K250" i="2"/>
  <c r="J251" i="2"/>
  <c r="K251" i="2"/>
  <c r="K252" i="2"/>
  <c r="J253" i="2"/>
  <c r="K253" i="2"/>
  <c r="K254" i="2"/>
  <c r="J255" i="2"/>
  <c r="K255" i="2"/>
  <c r="J257" i="2"/>
  <c r="K257" i="2"/>
  <c r="F258" i="2"/>
  <c r="J258" i="2" s="1"/>
  <c r="F259" i="2"/>
  <c r="K258" i="2"/>
  <c r="B259" i="2"/>
  <c r="B260" i="2" s="1"/>
  <c r="B261" i="2" s="1"/>
  <c r="B262" i="2" s="1"/>
  <c r="B263" i="2" s="1"/>
  <c r="B264" i="2" s="1"/>
  <c r="B265" i="2" s="1"/>
  <c r="K259" i="2"/>
  <c r="J260" i="2"/>
  <c r="K260" i="2"/>
  <c r="J261" i="2"/>
  <c r="K261" i="2"/>
  <c r="J262" i="2"/>
  <c r="K262" i="2"/>
  <c r="J263" i="2"/>
  <c r="K263" i="2"/>
  <c r="J264" i="2"/>
  <c r="K264" i="2"/>
  <c r="J265" i="2"/>
  <c r="K265" i="2"/>
  <c r="J267" i="2"/>
  <c r="K267" i="2"/>
  <c r="F268" i="2"/>
  <c r="J268" i="2" s="1"/>
  <c r="K268" i="2"/>
  <c r="B269" i="2"/>
  <c r="B270" i="2" s="1"/>
  <c r="B271" i="2" s="1"/>
  <c r="B272" i="2" s="1"/>
  <c r="B273" i="2" s="1"/>
  <c r="B274" i="2" s="1"/>
  <c r="J269" i="2"/>
  <c r="K269" i="2"/>
  <c r="F270" i="2"/>
  <c r="J270" i="2" s="1"/>
  <c r="F272" i="2"/>
  <c r="J272" i="2" s="1"/>
  <c r="F274" i="2"/>
  <c r="J274" i="2" s="1"/>
  <c r="K270" i="2"/>
  <c r="J271" i="2"/>
  <c r="K271" i="2"/>
  <c r="K272" i="2"/>
  <c r="K274" i="2"/>
  <c r="J276" i="2"/>
  <c r="K276" i="2"/>
  <c r="F277" i="2"/>
  <c r="J277" i="2" s="1"/>
  <c r="K277" i="2"/>
  <c r="B278" i="2"/>
  <c r="B279" i="2" s="1"/>
  <c r="B280" i="2" s="1"/>
  <c r="B281" i="2" s="1"/>
  <c r="B282" i="2" s="1"/>
  <c r="B283" i="2" s="1"/>
  <c r="B284" i="2" s="1"/>
  <c r="B285" i="2" s="1"/>
  <c r="B286" i="2" s="1"/>
  <c r="J278" i="2"/>
  <c r="K278" i="2"/>
  <c r="L278" i="2"/>
  <c r="J279" i="2"/>
  <c r="K279" i="2"/>
  <c r="F280" i="2"/>
  <c r="J280" i="2" s="1"/>
  <c r="K280" i="2"/>
  <c r="J281" i="2"/>
  <c r="J282" i="2"/>
  <c r="K282" i="2"/>
  <c r="F283" i="2"/>
  <c r="J283" i="2" s="1"/>
  <c r="K283" i="2"/>
  <c r="J284" i="2"/>
  <c r="K284" i="2"/>
  <c r="J285" i="2"/>
  <c r="K285" i="2"/>
  <c r="J286" i="2"/>
  <c r="K286" i="2"/>
  <c r="J288" i="2"/>
  <c r="K288" i="2"/>
  <c r="F289" i="2"/>
  <c r="J289" i="2" s="1"/>
  <c r="F290" i="2"/>
  <c r="J290" i="2" s="1"/>
  <c r="F291" i="2"/>
  <c r="J291" i="2" s="1"/>
  <c r="F293" i="2"/>
  <c r="J293" i="2" s="1"/>
  <c r="F296" i="2"/>
  <c r="J296" i="2" s="1"/>
  <c r="K289" i="2"/>
  <c r="B290" i="2"/>
  <c r="B291" i="2" s="1"/>
  <c r="B292" i="2" s="1"/>
  <c r="B293" i="2" s="1"/>
  <c r="B294" i="2" s="1"/>
  <c r="B295" i="2" s="1"/>
  <c r="B296" i="2" s="1"/>
  <c r="K290" i="2"/>
  <c r="L290" i="2"/>
  <c r="K291" i="2"/>
  <c r="J292" i="2"/>
  <c r="K292" i="2"/>
  <c r="K293" i="2"/>
  <c r="J294" i="2"/>
  <c r="K294" i="2"/>
  <c r="J295" i="2"/>
  <c r="K295" i="2"/>
  <c r="K296" i="2"/>
  <c r="J298" i="2"/>
  <c r="K298" i="2"/>
  <c r="J299" i="2"/>
  <c r="K299" i="2"/>
  <c r="B300" i="2"/>
  <c r="B301" i="2" s="1"/>
  <c r="B302" i="2" s="1"/>
  <c r="B303" i="2" s="1"/>
  <c r="B304" i="2" s="1"/>
  <c r="J300" i="2"/>
  <c r="K300" i="2"/>
  <c r="J301" i="2"/>
  <c r="K301" i="2"/>
  <c r="J302" i="2"/>
  <c r="K302" i="2"/>
  <c r="J303" i="2"/>
  <c r="K303" i="2"/>
  <c r="J304" i="2"/>
  <c r="K304" i="2"/>
  <c r="J306" i="2"/>
  <c r="K306" i="2"/>
  <c r="J307" i="2"/>
  <c r="K307" i="2"/>
  <c r="J341" i="2"/>
  <c r="K341" i="2"/>
  <c r="J342" i="2"/>
  <c r="K342" i="2"/>
  <c r="H343" i="2"/>
  <c r="J344" i="2"/>
  <c r="K344" i="2"/>
  <c r="J346" i="2"/>
  <c r="K346" i="2"/>
  <c r="J347" i="2"/>
  <c r="K347" i="2"/>
  <c r="J348" i="2"/>
  <c r="K348" i="2"/>
  <c r="J349" i="2"/>
  <c r="K349" i="2"/>
  <c r="J350" i="2"/>
  <c r="K350" i="2"/>
  <c r="B351" i="2"/>
  <c r="J351" i="2"/>
  <c r="K351" i="2"/>
  <c r="J354" i="2"/>
  <c r="K354" i="2"/>
  <c r="J355" i="2"/>
  <c r="K355" i="2"/>
  <c r="J356" i="2"/>
  <c r="K356" i="2"/>
  <c r="J357" i="2"/>
  <c r="K357" i="2"/>
  <c r="J358" i="2"/>
  <c r="K358" i="2"/>
  <c r="J132" i="2"/>
  <c r="K132" i="2"/>
  <c r="J359" i="2"/>
  <c r="K359" i="2"/>
  <c r="J361" i="2"/>
  <c r="K361" i="2"/>
  <c r="J362" i="2"/>
  <c r="K362" i="2"/>
  <c r="J224" i="2"/>
  <c r="K224" i="2"/>
  <c r="J363" i="2"/>
  <c r="K363" i="2"/>
  <c r="J364" i="2"/>
  <c r="K364" i="2"/>
  <c r="J365" i="2"/>
  <c r="K365" i="2"/>
  <c r="J360" i="2"/>
  <c r="J366" i="2"/>
  <c r="J367" i="2"/>
  <c r="J368" i="2"/>
  <c r="J369" i="2"/>
  <c r="J370" i="2"/>
  <c r="J372" i="2"/>
  <c r="J373" i="2"/>
  <c r="J374" i="2"/>
  <c r="J375" i="2"/>
  <c r="J376" i="2"/>
  <c r="J377" i="2"/>
  <c r="J378" i="2"/>
  <c r="J380" i="2"/>
  <c r="J381" i="2"/>
  <c r="J382" i="2"/>
  <c r="J385" i="2"/>
  <c r="J386" i="2"/>
  <c r="J387" i="2"/>
  <c r="J388" i="2"/>
  <c r="J389" i="2"/>
  <c r="J390" i="2"/>
  <c r="J478" i="2"/>
  <c r="J479" i="2"/>
  <c r="J480" i="2"/>
  <c r="J481" i="2"/>
  <c r="J482" i="2"/>
  <c r="J484" i="2"/>
  <c r="J485" i="2"/>
  <c r="F488" i="2"/>
  <c r="J486" i="2" s="1"/>
  <c r="J487" i="2"/>
  <c r="J488" i="2"/>
  <c r="F491" i="2"/>
  <c r="J489" i="2" s="1"/>
  <c r="F492" i="2"/>
  <c r="J490" i="2" s="1"/>
  <c r="F493" i="2"/>
  <c r="J491" i="2" s="1"/>
  <c r="F494" i="2"/>
  <c r="J492" i="2" s="1"/>
  <c r="F495" i="2"/>
  <c r="J493" i="2" s="1"/>
  <c r="F496" i="2"/>
  <c r="J494" i="2" s="1"/>
  <c r="F497" i="2"/>
  <c r="J495" i="2" s="1"/>
  <c r="F498" i="2"/>
  <c r="J496" i="2" s="1"/>
  <c r="J497" i="2"/>
  <c r="F500" i="2"/>
  <c r="J498" i="2" s="1"/>
  <c r="F501" i="2"/>
  <c r="J499" i="2" s="1"/>
  <c r="J502" i="2"/>
  <c r="J505" i="2"/>
  <c r="J506" i="2"/>
  <c r="J507" i="2"/>
  <c r="J508" i="2"/>
  <c r="F519" i="2"/>
  <c r="F530" i="2" s="1"/>
  <c r="J383" i="2"/>
  <c r="J462" i="2"/>
  <c r="J471" i="2"/>
  <c r="J472" i="2"/>
  <c r="J473" i="2"/>
  <c r="J474" i="2"/>
  <c r="F502" i="2"/>
  <c r="J500" i="2" s="1"/>
  <c r="J510" i="2"/>
  <c r="J511" i="2"/>
  <c r="J513" i="2"/>
  <c r="J551" i="2"/>
  <c r="J568" i="2"/>
  <c r="K367" i="2"/>
  <c r="K368" i="2"/>
  <c r="K369" i="2"/>
  <c r="K373" i="2"/>
  <c r="K374" i="2"/>
  <c r="K378" i="2"/>
  <c r="K380" i="2"/>
  <c r="K381" i="2"/>
  <c r="K383" i="2"/>
  <c r="K555" i="2"/>
  <c r="K386" i="2"/>
  <c r="K387" i="2"/>
  <c r="K388" i="2"/>
  <c r="K389" i="2"/>
  <c r="K390" i="2"/>
  <c r="K392" i="2"/>
  <c r="K462" i="2"/>
  <c r="K471" i="2"/>
  <c r="K472" i="2"/>
  <c r="K473" i="2"/>
  <c r="K474" i="2"/>
  <c r="K500" i="2"/>
  <c r="K475" i="2"/>
  <c r="K478" i="2"/>
  <c r="K479" i="2"/>
  <c r="L479" i="2"/>
  <c r="K480" i="2"/>
  <c r="L480" i="2"/>
  <c r="B483" i="2"/>
  <c r="B484" i="2" s="1"/>
  <c r="B485" i="2" s="1"/>
  <c r="B486" i="2" s="1"/>
  <c r="B487" i="2" s="1"/>
  <c r="B488" i="2" s="1"/>
  <c r="B489" i="2" s="1"/>
  <c r="B490" i="2" s="1"/>
  <c r="B491" i="2" s="1"/>
  <c r="B492" i="2" s="1"/>
  <c r="B493" i="2" s="1"/>
  <c r="B494" i="2" s="1"/>
  <c r="B495" i="2" s="1"/>
  <c r="B496" i="2" s="1"/>
  <c r="B497" i="2" s="1"/>
  <c r="B498" i="2" s="1"/>
  <c r="B499" i="2" s="1"/>
  <c r="B500" i="2" s="1"/>
  <c r="B501" i="2" s="1"/>
  <c r="K481" i="2"/>
  <c r="K482" i="2"/>
  <c r="K483" i="2"/>
  <c r="K484" i="2"/>
  <c r="K485" i="2"/>
  <c r="K486" i="2"/>
  <c r="K487" i="2"/>
  <c r="K488" i="2"/>
  <c r="K489" i="2"/>
  <c r="K490" i="2"/>
  <c r="K491" i="2"/>
  <c r="K492" i="2"/>
  <c r="K493" i="2"/>
  <c r="K494" i="2"/>
  <c r="K495" i="2"/>
  <c r="K496" i="2"/>
  <c r="K498" i="2"/>
  <c r="K499" i="2"/>
  <c r="K502" i="2"/>
  <c r="K503" i="2"/>
  <c r="K505" i="2"/>
  <c r="K506" i="2"/>
  <c r="K507" i="2"/>
  <c r="K508" i="2"/>
  <c r="K510" i="2"/>
  <c r="K511" i="2"/>
  <c r="K513" i="2"/>
  <c r="K551" i="2"/>
  <c r="K568" i="2"/>
  <c r="K360" i="2"/>
  <c r="B516" i="2"/>
  <c r="B517" i="2" s="1"/>
  <c r="B518" i="2" s="1"/>
  <c r="F470" i="2" l="1"/>
  <c r="H572" i="2"/>
  <c r="H530" i="2"/>
  <c r="J523" i="2" s="1"/>
  <c r="H470" i="2"/>
  <c r="H472" i="2" s="1"/>
  <c r="F572" i="2"/>
  <c r="F472" i="2"/>
  <c r="K122" i="2"/>
  <c r="F337" i="2"/>
  <c r="F32" i="2"/>
  <c r="K281" i="2"/>
  <c r="J477" i="2"/>
  <c r="H244" i="2"/>
  <c r="H104" i="2"/>
  <c r="H72" i="2"/>
  <c r="F104" i="2"/>
  <c r="F177" i="2"/>
  <c r="F266" i="2"/>
  <c r="F229" i="2"/>
  <c r="K497" i="2"/>
  <c r="J259" i="2"/>
  <c r="J145" i="2"/>
  <c r="H177" i="2"/>
  <c r="J560" i="2"/>
  <c r="F287" i="2"/>
  <c r="F297" i="2"/>
  <c r="F143" i="2"/>
  <c r="F275" i="2"/>
  <c r="H202" i="2"/>
  <c r="L482" i="2"/>
  <c r="F256" i="2"/>
  <c r="K201" i="2"/>
  <c r="F503" i="2"/>
  <c r="F220" i="2"/>
  <c r="F244" i="2"/>
  <c r="J248" i="2"/>
  <c r="F72" i="2"/>
  <c r="F202" i="2"/>
  <c r="K206" i="2"/>
  <c r="H220" i="2"/>
  <c r="F329" i="2"/>
  <c r="K366" i="2"/>
  <c r="J470" i="2" l="1"/>
  <c r="H339" i="2"/>
  <c r="H573" i="2" s="1"/>
  <c r="H574" i="2" s="1"/>
  <c r="K569" i="2"/>
  <c r="J501" i="2"/>
  <c r="J503" i="2" s="1"/>
  <c r="F339" i="2"/>
  <c r="F573" i="2" l="1"/>
  <c r="F574" i="2" s="1"/>
  <c r="H345" i="2"/>
  <c r="F345" i="2"/>
  <c r="J345" i="2" l="1"/>
  <c r="J569" i="2" s="1"/>
  <c r="A478" i="2"/>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7" i="2" s="1"/>
  <c r="A508" i="2" s="1"/>
  <c r="A509" i="2" s="1"/>
  <c r="A510" i="2" s="1"/>
  <c r="A515" i="2" s="1"/>
  <c r="A516" i="2" s="1"/>
  <c r="A517" i="2" s="1"/>
  <c r="A518" i="2" s="1"/>
  <c r="A519" i="2" s="1"/>
  <c r="A520" i="2" s="1"/>
  <c r="A521" i="2" s="1"/>
  <c r="A522" i="2" s="1"/>
  <c r="A523" i="2" s="1"/>
  <c r="A524" i="2" s="1"/>
  <c r="A525" i="2" s="1"/>
  <c r="A526" i="2" s="1"/>
  <c r="A527" i="2" s="1"/>
  <c r="A528" i="2" s="1"/>
  <c r="A529" i="2" s="1"/>
  <c r="A534" i="2" s="1"/>
  <c r="A535" i="2" s="1"/>
  <c r="A536" i="2" s="1"/>
  <c r="A537" i="2" s="1"/>
  <c r="A538" i="2" s="1"/>
  <c r="A539" i="2" s="1"/>
  <c r="A540" i="2" s="1"/>
  <c r="A541" i="2" s="1"/>
  <c r="A542" i="2" s="1"/>
  <c r="A543" i="2" s="1"/>
  <c r="A544" i="2" s="1"/>
  <c r="A545" i="2" s="1"/>
  <c r="A546" i="2" s="1"/>
  <c r="A547" i="2" s="1"/>
  <c r="A548" i="2" s="1"/>
  <c r="A549" i="2" s="1"/>
  <c r="A550" i="2" s="1"/>
  <c r="A551" i="2" s="1"/>
  <c r="A556" i="2" s="1"/>
  <c r="A557" i="2" s="1"/>
  <c r="A558" i="2" s="1"/>
  <c r="A559" i="2" s="1"/>
  <c r="A560" i="2" s="1"/>
  <c r="A561" i="2" s="1"/>
  <c r="A562" i="2" l="1"/>
  <c r="A567" i="2" s="1"/>
  <c r="A568" i="2" s="1"/>
</calcChain>
</file>

<file path=xl/sharedStrings.xml><?xml version="1.0" encoding="utf-8"?>
<sst xmlns="http://schemas.openxmlformats.org/spreadsheetml/2006/main" count="1815" uniqueCount="1201">
  <si>
    <r>
      <t xml:space="preserve">MONTOS DE TRANSACCIONES </t>
    </r>
    <r>
      <rPr>
        <i/>
        <sz val="12"/>
        <rFont val="Arial"/>
        <family val="2"/>
      </rPr>
      <t>(US$)</t>
    </r>
  </si>
  <si>
    <t>N°</t>
  </si>
  <si>
    <t>FECHA</t>
  </si>
  <si>
    <t>EMPRESA / PROYECTO</t>
  </si>
  <si>
    <t>SECTOR</t>
  </si>
  <si>
    <t>TRANSACCIONES
(sin IGV)</t>
  </si>
  <si>
    <t>INVERSION PROYECTADA
(sin IGV)</t>
  </si>
  <si>
    <t>A.VENTA ACCIONES Y/O ACTIVOS</t>
  </si>
  <si>
    <t>A1. SIN INTERVENCION DE PROINVERSIÓN (ANTES COPRI)</t>
  </si>
  <si>
    <t>10.06.91</t>
  </si>
  <si>
    <t>Sogewiese Leasing</t>
  </si>
  <si>
    <t>Financiero</t>
  </si>
  <si>
    <t>19.07.91</t>
  </si>
  <si>
    <t>Minas Buenaventura</t>
  </si>
  <si>
    <t>Minería</t>
  </si>
  <si>
    <t xml:space="preserve">TOTAL 1991 </t>
  </si>
  <si>
    <t>A2. CON INTERVENCION DE PROINVERSIÓN  (ANTES COPRI)</t>
  </si>
  <si>
    <t>26.05.92</t>
  </si>
  <si>
    <t>Minera Condestable</t>
  </si>
  <si>
    <t>05.06.92</t>
  </si>
  <si>
    <t>Banco de Comercio</t>
  </si>
  <si>
    <t>06.12.92</t>
  </si>
  <si>
    <t xml:space="preserve">Grifos de Petroperú </t>
  </si>
  <si>
    <t>Hidrocarburos</t>
  </si>
  <si>
    <t>23.07.92</t>
  </si>
  <si>
    <t>Industrias Navales</t>
  </si>
  <si>
    <t>Astillero</t>
  </si>
  <si>
    <t>24.07.92</t>
  </si>
  <si>
    <t>Química del Pacífico</t>
  </si>
  <si>
    <t>Químicos</t>
  </si>
  <si>
    <t>07.08.92</t>
  </si>
  <si>
    <t>Buses Enatru</t>
  </si>
  <si>
    <t>Transporte</t>
  </si>
  <si>
    <t>21.08.92</t>
  </si>
  <si>
    <t>Solgas</t>
  </si>
  <si>
    <t>07.09.92</t>
  </si>
  <si>
    <t>Minpeco USA</t>
  </si>
  <si>
    <t>Trading</t>
  </si>
  <si>
    <t>05.11.92</t>
  </si>
  <si>
    <t>Hierro Perú</t>
  </si>
  <si>
    <t>(c)</t>
  </si>
  <si>
    <t>09.12.92</t>
  </si>
  <si>
    <t>Quellaveco</t>
  </si>
  <si>
    <t>TOTAL 1992</t>
  </si>
  <si>
    <t>16.01.93</t>
  </si>
  <si>
    <t>Aeroperú</t>
  </si>
  <si>
    <t>21.01.93</t>
  </si>
  <si>
    <t>Reactivos  Nacionales</t>
  </si>
  <si>
    <t>24.02.93</t>
  </si>
  <si>
    <r>
      <t>Petromar</t>
    </r>
    <r>
      <rPr>
        <vertAlign val="superscript"/>
        <sz val="9"/>
        <color indexed="8"/>
        <rFont val="Arial"/>
        <family val="2"/>
      </rPr>
      <t>1</t>
    </r>
  </si>
  <si>
    <t>23.07.93</t>
  </si>
  <si>
    <t>Sudamericana de Fibras</t>
  </si>
  <si>
    <t>Textiles</t>
  </si>
  <si>
    <t>22.07.93</t>
  </si>
  <si>
    <t>Ecasa  -  Almacén Santa Anita</t>
  </si>
  <si>
    <t>Comercio</t>
  </si>
  <si>
    <t>17.08.93</t>
  </si>
  <si>
    <t>Ertur  Arequipa</t>
  </si>
  <si>
    <t>26.08.93</t>
  </si>
  <si>
    <t>Eretru Trujillo</t>
  </si>
  <si>
    <t>04.11.93</t>
  </si>
  <si>
    <t>Banco Popular</t>
  </si>
  <si>
    <t>05.11.93</t>
  </si>
  <si>
    <t>Petrolera Transoceánica</t>
  </si>
  <si>
    <t>10.11.93</t>
  </si>
  <si>
    <r>
      <t xml:space="preserve">Cerro Verde </t>
    </r>
    <r>
      <rPr>
        <vertAlign val="superscript"/>
        <sz val="9"/>
        <color indexed="8"/>
        <rFont val="Arial"/>
        <family val="2"/>
      </rPr>
      <t>2</t>
    </r>
  </si>
  <si>
    <t>16.11.93</t>
  </si>
  <si>
    <t>Sanmarti - SPL</t>
  </si>
  <si>
    <t>Industria</t>
  </si>
  <si>
    <t>08.12.93</t>
  </si>
  <si>
    <t>Conversión Lima - SPL</t>
  </si>
  <si>
    <t>16.12.93</t>
  </si>
  <si>
    <t>Flopesca</t>
  </si>
  <si>
    <t>Buques/Pesq.</t>
  </si>
  <si>
    <t>TOTAL 1993</t>
  </si>
  <si>
    <t>31.01.94</t>
  </si>
  <si>
    <t>Chillón - SPL</t>
  </si>
  <si>
    <t>24.02.94</t>
  </si>
  <si>
    <t>Cemento Yura</t>
  </si>
  <si>
    <t>25.02.94</t>
  </si>
  <si>
    <t>Cerper</t>
  </si>
  <si>
    <t>Pesquería</t>
  </si>
  <si>
    <t>28.02.94</t>
  </si>
  <si>
    <t>ENTEL - CPT</t>
  </si>
  <si>
    <t>Telecomunic.</t>
  </si>
  <si>
    <t>(c1)</t>
  </si>
  <si>
    <t>06.04.94</t>
  </si>
  <si>
    <t>Lar Carbón</t>
  </si>
  <si>
    <t>abr-set.94</t>
  </si>
  <si>
    <t>Tierras de Chao</t>
  </si>
  <si>
    <t>Agricultura</t>
  </si>
  <si>
    <t>22.04.94</t>
  </si>
  <si>
    <t>Refinería de Ilo</t>
  </si>
  <si>
    <t>25.04.94</t>
  </si>
  <si>
    <t>SPL - Modulo de Licores, Cartavio</t>
  </si>
  <si>
    <t>abr. 94</t>
  </si>
  <si>
    <t>Partic. menores B. Nación</t>
  </si>
  <si>
    <t>Varios</t>
  </si>
  <si>
    <t>15.06.94</t>
  </si>
  <si>
    <t>Cementos Lima</t>
  </si>
  <si>
    <t>23.06.94</t>
  </si>
  <si>
    <t>Epsep (activos )</t>
  </si>
  <si>
    <t>12.07.94</t>
  </si>
  <si>
    <t>Edelnor</t>
  </si>
  <si>
    <t>Electricidad</t>
  </si>
  <si>
    <t>Edelsur</t>
  </si>
  <si>
    <t>20.07.94</t>
  </si>
  <si>
    <t>Interbanc</t>
  </si>
  <si>
    <t>31.08.94</t>
  </si>
  <si>
    <t>Sind. de Inv. y Administr.</t>
  </si>
  <si>
    <t>Servicios</t>
  </si>
  <si>
    <t>05.09.94</t>
  </si>
  <si>
    <t>Nuevas Inversiones S.A.</t>
  </si>
  <si>
    <t>06.10.94</t>
  </si>
  <si>
    <r>
      <t xml:space="preserve">Tintaya </t>
    </r>
    <r>
      <rPr>
        <vertAlign val="superscript"/>
        <sz val="9"/>
        <color indexed="8"/>
        <rFont val="Arial"/>
        <family val="2"/>
      </rPr>
      <t>4</t>
    </r>
  </si>
  <si>
    <t>(c3)</t>
  </si>
  <si>
    <t>04.11.94</t>
  </si>
  <si>
    <r>
      <t>Ref. de Cajamarquilla</t>
    </r>
    <r>
      <rPr>
        <vertAlign val="superscript"/>
        <sz val="9"/>
        <color indexed="8"/>
        <rFont val="Arial"/>
        <family val="2"/>
      </rPr>
      <t xml:space="preserve"> 5</t>
    </r>
  </si>
  <si>
    <t>(c4)</t>
  </si>
  <si>
    <t>25.11.94</t>
  </si>
  <si>
    <t xml:space="preserve">Pesca Perú - Chicama </t>
  </si>
  <si>
    <t>nov/dic 94</t>
  </si>
  <si>
    <r>
      <t xml:space="preserve">Cementos Norte Pacasmayo </t>
    </r>
    <r>
      <rPr>
        <vertAlign val="superscript"/>
        <sz val="9"/>
        <color indexed="8"/>
        <rFont val="Arial"/>
        <family val="2"/>
      </rPr>
      <t>6</t>
    </r>
  </si>
  <si>
    <t>12.12.94</t>
  </si>
  <si>
    <t xml:space="preserve">Pesca Perú - Chimbote C. </t>
  </si>
  <si>
    <t>16.12.94</t>
  </si>
  <si>
    <r>
      <t xml:space="preserve">Emsal </t>
    </r>
    <r>
      <rPr>
        <vertAlign val="superscript"/>
        <sz val="9"/>
        <color indexed="8"/>
        <rFont val="Arial"/>
        <family val="2"/>
      </rPr>
      <t>7</t>
    </r>
  </si>
  <si>
    <t>23.12.94</t>
  </si>
  <si>
    <t xml:space="preserve">Pesca - Perú - Mollendo </t>
  </si>
  <si>
    <t>TOTAL 1994</t>
  </si>
  <si>
    <t>13.01.95</t>
  </si>
  <si>
    <t>Pesca Perú - La Planchada</t>
  </si>
  <si>
    <t>25.01.95</t>
  </si>
  <si>
    <t>Ertsa Puno</t>
  </si>
  <si>
    <t>27.01.95</t>
  </si>
  <si>
    <t>Pesca Perú - Atico</t>
  </si>
  <si>
    <r>
      <t xml:space="preserve">Hoteles de Turistas </t>
    </r>
    <r>
      <rPr>
        <vertAlign val="superscript"/>
        <sz val="9"/>
        <color indexed="8"/>
        <rFont val="Arial"/>
        <family val="2"/>
      </rPr>
      <t>8</t>
    </r>
  </si>
  <si>
    <t>Turismo</t>
  </si>
  <si>
    <t>01.01.95</t>
  </si>
  <si>
    <r>
      <t xml:space="preserve">Entel Perú - trabajadores </t>
    </r>
    <r>
      <rPr>
        <vertAlign val="superscript"/>
        <sz val="9"/>
        <color indexed="8"/>
        <rFont val="Arial"/>
        <family val="2"/>
      </rPr>
      <t>9</t>
    </r>
  </si>
  <si>
    <t>21.02.95</t>
  </si>
  <si>
    <r>
      <t xml:space="preserve">Epsep - Activos </t>
    </r>
    <r>
      <rPr>
        <vertAlign val="superscript"/>
        <sz val="9"/>
        <color indexed="8"/>
        <rFont val="Arial"/>
        <family val="2"/>
      </rPr>
      <t>10</t>
    </r>
  </si>
  <si>
    <t>23.02.95</t>
  </si>
  <si>
    <r>
      <t xml:space="preserve">Pesq.Grau-Compl.Paita </t>
    </r>
    <r>
      <rPr>
        <vertAlign val="superscript"/>
        <sz val="9"/>
        <color indexed="8"/>
        <rFont val="Arial"/>
        <family val="2"/>
      </rPr>
      <t>11</t>
    </r>
  </si>
  <si>
    <t>10.03.95</t>
  </si>
  <si>
    <t>18.04.95</t>
  </si>
  <si>
    <r>
      <t xml:space="preserve">Banco Continental </t>
    </r>
    <r>
      <rPr>
        <vertAlign val="superscript"/>
        <sz val="9"/>
        <color indexed="8"/>
        <rFont val="Arial"/>
        <family val="2"/>
      </rPr>
      <t>12</t>
    </r>
  </si>
  <si>
    <t>25.04.95</t>
  </si>
  <si>
    <r>
      <t xml:space="preserve">Cahua </t>
    </r>
    <r>
      <rPr>
        <vertAlign val="superscript"/>
        <sz val="9"/>
        <color indexed="8"/>
        <rFont val="Arial"/>
        <family val="2"/>
      </rPr>
      <t>13</t>
    </r>
  </si>
  <si>
    <t>may-ago 95</t>
  </si>
  <si>
    <r>
      <t xml:space="preserve">Hotel Turistas Chiclayo,  H.Tingo María </t>
    </r>
    <r>
      <rPr>
        <vertAlign val="superscript"/>
        <sz val="9"/>
        <color indexed="8"/>
        <rFont val="Arial"/>
        <family val="2"/>
      </rPr>
      <t>8</t>
    </r>
  </si>
  <si>
    <t>Paradores, Inmuebles, marca H.de Turistas</t>
  </si>
  <si>
    <t>30.05.95</t>
  </si>
  <si>
    <t>15.06.95</t>
  </si>
  <si>
    <r>
      <t xml:space="preserve">Compl. Pesq. Samanco </t>
    </r>
    <r>
      <rPr>
        <vertAlign val="superscript"/>
        <sz val="9"/>
        <color indexed="8"/>
        <rFont val="Arial"/>
        <family val="2"/>
      </rPr>
      <t>14</t>
    </r>
  </si>
  <si>
    <t>05.06.95</t>
  </si>
  <si>
    <r>
      <t xml:space="preserve">Cem. N. Pacasmayo </t>
    </r>
    <r>
      <rPr>
        <vertAlign val="superscript"/>
        <sz val="9"/>
        <color indexed="8"/>
        <rFont val="Arial"/>
        <family val="2"/>
      </rPr>
      <t>6</t>
    </r>
  </si>
  <si>
    <t>23.06.95</t>
  </si>
  <si>
    <t>06.07.95</t>
  </si>
  <si>
    <t>Minero Perú - Viviendas de Ilo</t>
  </si>
  <si>
    <r>
      <t xml:space="preserve">Edelnor - Trabajadores </t>
    </r>
    <r>
      <rPr>
        <vertAlign val="superscript"/>
        <sz val="9"/>
        <color indexed="8"/>
        <rFont val="Arial"/>
        <family val="2"/>
      </rPr>
      <t>16</t>
    </r>
  </si>
  <si>
    <t>15.08.95</t>
  </si>
  <si>
    <r>
      <t xml:space="preserve">Banco Continental - Saldo Acc.     </t>
    </r>
    <r>
      <rPr>
        <vertAlign val="superscript"/>
        <sz val="9"/>
        <color indexed="8"/>
        <rFont val="Arial"/>
        <family val="2"/>
      </rPr>
      <t>12</t>
    </r>
  </si>
  <si>
    <t>jul-ago 95</t>
  </si>
  <si>
    <t>Banco Continental - Trabajadores</t>
  </si>
  <si>
    <t>10.08.95</t>
  </si>
  <si>
    <t>Fertisa - Terreno de Oquendo</t>
  </si>
  <si>
    <t>11.08.95</t>
  </si>
  <si>
    <t>Pesca Perú  - Supe Norte</t>
  </si>
  <si>
    <t>ago 95</t>
  </si>
  <si>
    <t>Sider Perú S.A. - Inmuebles</t>
  </si>
  <si>
    <t>17.10.95</t>
  </si>
  <si>
    <r>
      <t xml:space="preserve">Edegel  </t>
    </r>
    <r>
      <rPr>
        <vertAlign val="superscript"/>
        <sz val="9"/>
        <color indexed="8"/>
        <rFont val="Arial"/>
        <family val="2"/>
      </rPr>
      <t>17</t>
    </r>
  </si>
  <si>
    <t>20.10.95</t>
  </si>
  <si>
    <t>Enafer - Inmuebles</t>
  </si>
  <si>
    <t>Transportes</t>
  </si>
  <si>
    <t>31.10.95</t>
  </si>
  <si>
    <r>
      <t xml:space="preserve">Cemento Sur S.A.  </t>
    </r>
    <r>
      <rPr>
        <vertAlign val="superscript"/>
        <sz val="9"/>
        <color indexed="8"/>
        <rFont val="Arial"/>
        <family val="2"/>
      </rPr>
      <t>18</t>
    </r>
  </si>
  <si>
    <t xml:space="preserve"> (c)</t>
  </si>
  <si>
    <t>28.11.95</t>
  </si>
  <si>
    <r>
      <t xml:space="preserve">Epersur - Equipos de Frío </t>
    </r>
    <r>
      <rPr>
        <vertAlign val="superscript"/>
        <sz val="9"/>
        <color indexed="8"/>
        <rFont val="Arial"/>
        <family val="2"/>
      </rPr>
      <t>19</t>
    </r>
  </si>
  <si>
    <t>30.11.95</t>
  </si>
  <si>
    <t>Epsep - Mercado Mayorista Callao</t>
  </si>
  <si>
    <t>07.12.95</t>
  </si>
  <si>
    <r>
      <t xml:space="preserve">Epersur - Frigorífico Pesquero de Tacna </t>
    </r>
    <r>
      <rPr>
        <vertAlign val="superscript"/>
        <sz val="9"/>
        <color indexed="8"/>
        <rFont val="Arial"/>
        <family val="2"/>
      </rPr>
      <t>19</t>
    </r>
  </si>
  <si>
    <t>15.12.95</t>
  </si>
  <si>
    <r>
      <t xml:space="preserve">EDE - Chancay   </t>
    </r>
    <r>
      <rPr>
        <vertAlign val="superscript"/>
        <sz val="9"/>
        <color indexed="8"/>
        <rFont val="Arial"/>
        <family val="2"/>
      </rPr>
      <t>20</t>
    </r>
  </si>
  <si>
    <t>TOTAL 1995</t>
  </si>
  <si>
    <t>31.01.96</t>
  </si>
  <si>
    <t>Centromin - Prospecto Aurífero Paucaray</t>
  </si>
  <si>
    <t>14.02.96</t>
  </si>
  <si>
    <r>
      <t xml:space="preserve">Sider Perú S.A. </t>
    </r>
    <r>
      <rPr>
        <vertAlign val="superscript"/>
        <sz val="9"/>
        <color indexed="8"/>
        <rFont val="Arial"/>
        <family val="2"/>
      </rPr>
      <t>21</t>
    </r>
  </si>
  <si>
    <r>
      <t xml:space="preserve">Sider Perú S.A. - Trabajadores </t>
    </r>
    <r>
      <rPr>
        <vertAlign val="superscript"/>
        <sz val="9"/>
        <color indexed="8"/>
        <rFont val="Arial"/>
        <family val="2"/>
      </rPr>
      <t>22</t>
    </r>
  </si>
  <si>
    <t>10.04.96</t>
  </si>
  <si>
    <r>
      <t xml:space="preserve">Epersur - Complejo Industrial de Ilo </t>
    </r>
    <r>
      <rPr>
        <vertAlign val="superscript"/>
        <sz val="9"/>
        <color indexed="8"/>
        <rFont val="Arial"/>
        <family val="2"/>
      </rPr>
      <t>19</t>
    </r>
  </si>
  <si>
    <t>Ede- Chancay - Trabajadores</t>
  </si>
  <si>
    <t>23.04.96</t>
  </si>
  <si>
    <t>SPL - Máquina Papelera PPX-8</t>
  </si>
  <si>
    <t>15.05.96</t>
  </si>
  <si>
    <t xml:space="preserve">Epsep - Frigoríficos Pesq. Jaén y Celendín </t>
  </si>
  <si>
    <t>11.06.96</t>
  </si>
  <si>
    <r>
      <t xml:space="preserve">Petroperú - Refinería la Pampilla  </t>
    </r>
    <r>
      <rPr>
        <vertAlign val="superscript"/>
        <sz val="9"/>
        <color indexed="8"/>
        <rFont val="Arial"/>
        <family val="2"/>
      </rPr>
      <t>23</t>
    </r>
  </si>
  <si>
    <t xml:space="preserve">Epersur - Inmueble Ilo </t>
  </si>
  <si>
    <r>
      <t xml:space="preserve">Petroperú - Lotes 8/8X   </t>
    </r>
    <r>
      <rPr>
        <vertAlign val="superscript"/>
        <sz val="9"/>
        <color indexed="8"/>
        <rFont val="Arial"/>
        <family val="2"/>
      </rPr>
      <t>a5</t>
    </r>
  </si>
  <si>
    <t>jun-ago 96</t>
  </si>
  <si>
    <t>Epsep - Vehículos</t>
  </si>
  <si>
    <t>25.06.96</t>
  </si>
  <si>
    <r>
      <t xml:space="preserve">Empresa de Generación Eléctrica Nor Perú S.A. </t>
    </r>
    <r>
      <rPr>
        <vertAlign val="superscript"/>
        <sz val="9"/>
        <color indexed="8"/>
        <rFont val="Arial"/>
        <family val="2"/>
      </rPr>
      <t>24</t>
    </r>
  </si>
  <si>
    <t>27.06.96</t>
  </si>
  <si>
    <r>
      <t xml:space="preserve">Empresa de Distribución Eléctrica de Cañete S.A. </t>
    </r>
    <r>
      <rPr>
        <vertAlign val="superscript"/>
        <sz val="9"/>
        <color indexed="8"/>
        <rFont val="Arial"/>
        <family val="2"/>
      </rPr>
      <t>25</t>
    </r>
  </si>
  <si>
    <t>3 Jun/1 Jul</t>
  </si>
  <si>
    <r>
      <t xml:space="preserve">Acc. Telefónica del Perú S.A. T.Institucional Local </t>
    </r>
    <r>
      <rPr>
        <vertAlign val="superscript"/>
        <sz val="9"/>
        <color indexed="8"/>
        <rFont val="Arial"/>
        <family val="2"/>
      </rPr>
      <t>26</t>
    </r>
  </si>
  <si>
    <t>Telecomunicac.</t>
  </si>
  <si>
    <t>3 Jun/ Jul</t>
  </si>
  <si>
    <r>
      <t xml:space="preserve">Acc.Telefónica del Perú S.A. T. Minorista Local </t>
    </r>
    <r>
      <rPr>
        <vertAlign val="superscript"/>
        <sz val="9"/>
        <color indexed="8"/>
        <rFont val="Arial"/>
        <family val="2"/>
      </rPr>
      <t>26</t>
    </r>
  </si>
  <si>
    <t>1ro. Jul</t>
  </si>
  <si>
    <r>
      <t xml:space="preserve">Acc. Telefónica del Perú S.A.-T.Internacional  </t>
    </r>
    <r>
      <rPr>
        <vertAlign val="superscript"/>
        <sz val="9"/>
        <color indexed="8"/>
        <rFont val="Arial"/>
        <family val="2"/>
      </rPr>
      <t>26</t>
    </r>
  </si>
  <si>
    <t>12.07.96</t>
  </si>
  <si>
    <r>
      <t xml:space="preserve">Centromin - Proyecto  Minero Antamina </t>
    </r>
    <r>
      <rPr>
        <vertAlign val="superscript"/>
        <sz val="9"/>
        <color indexed="8"/>
        <rFont val="Arial"/>
        <family val="2"/>
      </rPr>
      <t>27</t>
    </r>
  </si>
  <si>
    <t>17.07.96</t>
  </si>
  <si>
    <r>
      <t xml:space="preserve">Pesca Perú Chimbote Sur S.A. </t>
    </r>
    <r>
      <rPr>
        <vertAlign val="superscript"/>
        <sz val="9"/>
        <color indexed="8"/>
        <rFont val="Arial"/>
        <family val="2"/>
      </rPr>
      <t>28</t>
    </r>
  </si>
  <si>
    <r>
      <t xml:space="preserve">Pesca Perú Supe Sur S.A. </t>
    </r>
    <r>
      <rPr>
        <vertAlign val="superscript"/>
        <sz val="9"/>
        <color indexed="8"/>
        <rFont val="Arial"/>
        <family val="2"/>
      </rPr>
      <t>28</t>
    </r>
  </si>
  <si>
    <t>22.07.96</t>
  </si>
  <si>
    <r>
      <t xml:space="preserve">Luz del Sur - Venta a Trabajadores </t>
    </r>
    <r>
      <rPr>
        <vertAlign val="superscript"/>
        <sz val="9"/>
        <color indexed="8"/>
        <rFont val="Arial"/>
        <family val="2"/>
      </rPr>
      <t>29</t>
    </r>
  </si>
  <si>
    <r>
      <t xml:space="preserve">Edegel - Venta a trabajadores </t>
    </r>
    <r>
      <rPr>
        <vertAlign val="superscript"/>
        <sz val="9"/>
        <color indexed="8"/>
        <rFont val="Arial"/>
        <family val="2"/>
      </rPr>
      <t>29</t>
    </r>
  </si>
  <si>
    <t>15.08.96</t>
  </si>
  <si>
    <r>
      <t xml:space="preserve">Petrolube S.A. </t>
    </r>
    <r>
      <rPr>
        <vertAlign val="superscript"/>
        <sz val="9"/>
        <color indexed="8"/>
        <rFont val="Arial"/>
        <family val="2"/>
      </rPr>
      <t>30</t>
    </r>
  </si>
  <si>
    <t>21.08.96</t>
  </si>
  <si>
    <r>
      <t xml:space="preserve">Pesca Perú Refinería de Ilo S.A. </t>
    </r>
    <r>
      <rPr>
        <vertAlign val="superscript"/>
        <sz val="9"/>
        <color indexed="8"/>
        <rFont val="Arial"/>
        <family val="2"/>
      </rPr>
      <t>19</t>
    </r>
  </si>
  <si>
    <t>02.10.96</t>
  </si>
  <si>
    <r>
      <t xml:space="preserve">Empresa Eléctrica de Piura - EEP   </t>
    </r>
    <r>
      <rPr>
        <vertAlign val="superscript"/>
        <sz val="9"/>
        <color indexed="8"/>
        <rFont val="Arial"/>
        <family val="2"/>
      </rPr>
      <t>d3</t>
    </r>
  </si>
  <si>
    <t>22.10.96</t>
  </si>
  <si>
    <r>
      <t xml:space="preserve">Industrial Cachimayo S.A. </t>
    </r>
    <r>
      <rPr>
        <vertAlign val="superscript"/>
        <sz val="9"/>
        <color indexed="8"/>
        <rFont val="Arial"/>
        <family val="2"/>
      </rPr>
      <t>31</t>
    </r>
  </si>
  <si>
    <t>28.10.96</t>
  </si>
  <si>
    <r>
      <t xml:space="preserve">Etevensa - Venta a Trabajadores </t>
    </r>
    <r>
      <rPr>
        <vertAlign val="superscript"/>
        <sz val="9"/>
        <color indexed="8"/>
        <rFont val="Arial"/>
        <family val="2"/>
      </rPr>
      <t>32</t>
    </r>
  </si>
  <si>
    <t>29.10.96</t>
  </si>
  <si>
    <t>Petroperú - Lote X</t>
  </si>
  <si>
    <t>30.10.96</t>
  </si>
  <si>
    <r>
      <t xml:space="preserve">Cahua - Venta a Trabajadores </t>
    </r>
    <r>
      <rPr>
        <vertAlign val="superscript"/>
        <sz val="9"/>
        <color indexed="8"/>
        <rFont val="Arial"/>
        <family val="2"/>
      </rPr>
      <t>32</t>
    </r>
  </si>
  <si>
    <t>11.11.96</t>
  </si>
  <si>
    <r>
      <t xml:space="preserve">Egenor - Venta a Trabajadores </t>
    </r>
    <r>
      <rPr>
        <vertAlign val="superscript"/>
        <sz val="9"/>
        <color indexed="8"/>
        <rFont val="Arial"/>
        <family val="2"/>
      </rPr>
      <t>32</t>
    </r>
  </si>
  <si>
    <t>05.12.96</t>
  </si>
  <si>
    <r>
      <t>Pesca Perú Chancay</t>
    </r>
    <r>
      <rPr>
        <vertAlign val="superscript"/>
        <sz val="9"/>
        <color indexed="8"/>
        <rFont val="Arial"/>
        <family val="2"/>
      </rPr>
      <t xml:space="preserve"> 33</t>
    </r>
  </si>
  <si>
    <t>nov/dic 96</t>
  </si>
  <si>
    <r>
      <t xml:space="preserve">Acc.Luz del Sur.  T.Internacional  </t>
    </r>
    <r>
      <rPr>
        <vertAlign val="superscript"/>
        <sz val="9"/>
        <color indexed="8"/>
        <rFont val="Arial"/>
        <family val="2"/>
      </rPr>
      <t>36</t>
    </r>
  </si>
  <si>
    <r>
      <t xml:space="preserve">Acc.Luz del Sur.  T.Institucional Local </t>
    </r>
    <r>
      <rPr>
        <vertAlign val="superscript"/>
        <sz val="9"/>
        <color indexed="8"/>
        <rFont val="Arial"/>
        <family val="2"/>
      </rPr>
      <t xml:space="preserve"> 36</t>
    </r>
  </si>
  <si>
    <r>
      <t xml:space="preserve">Acc.Luz del Sur.  T.Minorista Local </t>
    </r>
    <r>
      <rPr>
        <vertAlign val="superscript"/>
        <sz val="9"/>
        <color indexed="8"/>
        <rFont val="Arial"/>
        <family val="2"/>
      </rPr>
      <t>36</t>
    </r>
  </si>
  <si>
    <t>30.12.96</t>
  </si>
  <si>
    <r>
      <t xml:space="preserve">Pesca Perú Huacho S.A.  </t>
    </r>
    <r>
      <rPr>
        <vertAlign val="superscript"/>
        <sz val="9"/>
        <color indexed="8"/>
        <rFont val="Arial"/>
        <family val="2"/>
      </rPr>
      <t>33</t>
    </r>
  </si>
  <si>
    <r>
      <t xml:space="preserve">Pesca Perú Callao Norte S.A. </t>
    </r>
    <r>
      <rPr>
        <vertAlign val="superscript"/>
        <sz val="9"/>
        <color indexed="8"/>
        <rFont val="Arial"/>
        <family val="2"/>
      </rPr>
      <t xml:space="preserve"> 33</t>
    </r>
  </si>
  <si>
    <t xml:space="preserve">Pesca Perú Huarmey S.A.  </t>
  </si>
  <si>
    <r>
      <t xml:space="preserve">Pesca Perú Refinería Chimbote S.A. </t>
    </r>
    <r>
      <rPr>
        <vertAlign val="superscript"/>
        <sz val="9"/>
        <color indexed="8"/>
        <rFont val="Arial"/>
        <family val="2"/>
      </rPr>
      <t xml:space="preserve"> 33</t>
    </r>
  </si>
  <si>
    <t xml:space="preserve">TOTAL 1996 </t>
  </si>
  <si>
    <t>11.02.97</t>
  </si>
  <si>
    <r>
      <t xml:space="preserve">Electro Sur Medio S.A.   </t>
    </r>
    <r>
      <rPr>
        <vertAlign val="superscript"/>
        <sz val="9"/>
        <color indexed="8"/>
        <rFont val="Arial"/>
        <family val="2"/>
      </rPr>
      <t xml:space="preserve"> 37</t>
    </r>
  </si>
  <si>
    <t>26.02.97</t>
  </si>
  <si>
    <r>
      <t>Empresa Minera Yauliyacu S.A.</t>
    </r>
    <r>
      <rPr>
        <vertAlign val="superscript"/>
        <sz val="9"/>
        <color indexed="8"/>
        <rFont val="Arial"/>
        <family val="2"/>
      </rPr>
      <t xml:space="preserve"> 34</t>
    </r>
  </si>
  <si>
    <r>
      <t xml:space="preserve">Centromín - La Carcajada y Perro Ciego </t>
    </r>
    <r>
      <rPr>
        <vertAlign val="superscript"/>
        <sz val="9"/>
        <color indexed="8"/>
        <rFont val="Arial"/>
        <family val="2"/>
      </rPr>
      <t>35</t>
    </r>
  </si>
  <si>
    <t>28.02.97</t>
  </si>
  <si>
    <r>
      <t xml:space="preserve">Emp. Radio Panamericana S.A. y Emp.Difusora Radio Tele </t>
    </r>
    <r>
      <rPr>
        <vertAlign val="superscript"/>
        <sz val="8"/>
        <color indexed="8"/>
        <rFont val="Arial"/>
        <family val="2"/>
      </rPr>
      <t>38</t>
    </r>
  </si>
  <si>
    <t>Comunicación</t>
  </si>
  <si>
    <t>06.03.97</t>
  </si>
  <si>
    <r>
      <t xml:space="preserve">Planta Lechera de Sullana S.A. </t>
    </r>
    <r>
      <rPr>
        <vertAlign val="superscript"/>
        <sz val="9"/>
        <color indexed="8"/>
        <rFont val="Arial"/>
        <family val="2"/>
      </rPr>
      <t xml:space="preserve"> 39</t>
    </r>
  </si>
  <si>
    <t>21.03.97</t>
  </si>
  <si>
    <r>
      <t xml:space="preserve">SPL - Módulo Trupal  </t>
    </r>
    <r>
      <rPr>
        <vertAlign val="superscript"/>
        <sz val="9"/>
        <color indexed="8"/>
        <rFont val="Arial"/>
        <family val="2"/>
      </rPr>
      <t xml:space="preserve"> 40</t>
    </r>
  </si>
  <si>
    <t>04.04.97</t>
  </si>
  <si>
    <r>
      <t xml:space="preserve">Pesca Perú Tambo de Mora Sur S.A. </t>
    </r>
    <r>
      <rPr>
        <vertAlign val="superscript"/>
        <sz val="9"/>
        <color indexed="8"/>
        <rFont val="Arial"/>
        <family val="2"/>
      </rPr>
      <t xml:space="preserve"> 41</t>
    </r>
  </si>
  <si>
    <t>Pesca Perú Ilo Centro S.A.</t>
  </si>
  <si>
    <t>15.04.97</t>
  </si>
  <si>
    <r>
      <t xml:space="preserve">Pesca Perú Refinería Callao S.A. </t>
    </r>
    <r>
      <rPr>
        <vertAlign val="superscript"/>
        <sz val="9"/>
        <color indexed="8"/>
        <rFont val="Arial"/>
        <family val="2"/>
      </rPr>
      <t>33</t>
    </r>
  </si>
  <si>
    <t>07.05.97</t>
  </si>
  <si>
    <r>
      <t xml:space="preserve">Minero Perú - Las Huaquillas </t>
    </r>
    <r>
      <rPr>
        <vertAlign val="superscript"/>
        <sz val="9"/>
        <color indexed="8"/>
        <rFont val="Arial"/>
        <family val="2"/>
      </rPr>
      <t>42</t>
    </r>
  </si>
  <si>
    <t>30.05.97</t>
  </si>
  <si>
    <t>Pesca Perú Ilo Sur S.A.</t>
  </si>
  <si>
    <t>Pesca Perú Ilo Norte S.A.</t>
  </si>
  <si>
    <r>
      <t xml:space="preserve">ENATA - Planta Industrial de Ate  </t>
    </r>
    <r>
      <rPr>
        <vertAlign val="superscript"/>
        <sz val="9"/>
        <color indexed="8"/>
        <rFont val="Arial"/>
        <family val="2"/>
      </rPr>
      <t>40</t>
    </r>
  </si>
  <si>
    <t>10.07.97</t>
  </si>
  <si>
    <r>
      <t xml:space="preserve">Empresa Metalúrgica de la Oroya S.A. </t>
    </r>
    <r>
      <rPr>
        <vertAlign val="superscript"/>
        <sz val="9"/>
        <color indexed="8"/>
        <rFont val="Arial"/>
        <family val="2"/>
      </rPr>
      <t xml:space="preserve">  d4</t>
    </r>
  </si>
  <si>
    <t>18.07.97</t>
  </si>
  <si>
    <r>
      <t xml:space="preserve">Empresa Minera Mahr Túnel S.A.  </t>
    </r>
    <r>
      <rPr>
        <vertAlign val="superscript"/>
        <sz val="9"/>
        <color indexed="8"/>
        <rFont val="Arial"/>
        <family val="2"/>
      </rPr>
      <t>44</t>
    </r>
  </si>
  <si>
    <t>04.08.97</t>
  </si>
  <si>
    <r>
      <t xml:space="preserve">Pesca Perú Tambo de Mora Norte S.A. </t>
    </r>
    <r>
      <rPr>
        <vertAlign val="superscript"/>
        <sz val="9"/>
        <color indexed="8"/>
        <rFont val="Arial"/>
        <family val="2"/>
      </rPr>
      <t xml:space="preserve">  33</t>
    </r>
  </si>
  <si>
    <t>07.08.97</t>
  </si>
  <si>
    <t>ENATA - Inmuebles</t>
  </si>
  <si>
    <t>13 - 20.08.97</t>
  </si>
  <si>
    <r>
      <t xml:space="preserve">Tierras P.E. Chavimochic - Etapa I (6,456 has.)  </t>
    </r>
    <r>
      <rPr>
        <vertAlign val="superscript"/>
        <sz val="9"/>
        <color indexed="8"/>
        <rFont val="Arial"/>
        <family val="2"/>
      </rPr>
      <t xml:space="preserve"> 45</t>
    </r>
  </si>
  <si>
    <t>11.09.97</t>
  </si>
  <si>
    <t>Ampollas Farmacéuticas AMFA - Activos</t>
  </si>
  <si>
    <t>27.10.97</t>
  </si>
  <si>
    <r>
      <t xml:space="preserve">Yacimiento Berenguela  </t>
    </r>
    <r>
      <rPr>
        <vertAlign val="superscript"/>
        <sz val="9"/>
        <color indexed="8"/>
        <rFont val="Arial"/>
        <family val="2"/>
      </rPr>
      <t xml:space="preserve"> 46</t>
    </r>
  </si>
  <si>
    <t>31.10.97</t>
  </si>
  <si>
    <r>
      <t xml:space="preserve">SPL - Módulo Químico    </t>
    </r>
    <r>
      <rPr>
        <vertAlign val="superscript"/>
        <sz val="9"/>
        <color indexed="8"/>
        <rFont val="Arial"/>
        <family val="2"/>
      </rPr>
      <t>40</t>
    </r>
  </si>
  <si>
    <t>06.11.97</t>
  </si>
  <si>
    <t xml:space="preserve">Talleres de Moyopampa S.A. </t>
  </si>
  <si>
    <t>14.11.97</t>
  </si>
  <si>
    <r>
      <t xml:space="preserve">Pesca Perú Refinería Pisco S.A.  </t>
    </r>
    <r>
      <rPr>
        <vertAlign val="superscript"/>
        <sz val="9"/>
        <color indexed="8"/>
        <rFont val="Arial"/>
        <family val="2"/>
      </rPr>
      <t>19</t>
    </r>
  </si>
  <si>
    <r>
      <t xml:space="preserve">Pesca Perú Refinería Supe S.A.  </t>
    </r>
    <r>
      <rPr>
        <vertAlign val="superscript"/>
        <sz val="9"/>
        <color indexed="8"/>
        <rFont val="Arial"/>
        <family val="2"/>
      </rPr>
      <t>19</t>
    </r>
  </si>
  <si>
    <t>29.11.97</t>
  </si>
  <si>
    <t xml:space="preserve">Refinería La Pampilla - Venta a Trabajadores   </t>
  </si>
  <si>
    <t>15.12.97</t>
  </si>
  <si>
    <t>SPL - Almacén de Productos Terminados APT</t>
  </si>
  <si>
    <t>19.12.97</t>
  </si>
  <si>
    <r>
      <t xml:space="preserve">Petroperú - Terminales del Norte </t>
    </r>
    <r>
      <rPr>
        <vertAlign val="superscript"/>
        <sz val="9"/>
        <color indexed="8"/>
        <rFont val="Arial"/>
        <family val="2"/>
      </rPr>
      <t>a6</t>
    </r>
  </si>
  <si>
    <r>
      <t xml:space="preserve">Petroperú - Terminales del Centro </t>
    </r>
    <r>
      <rPr>
        <vertAlign val="superscript"/>
        <sz val="9"/>
        <color indexed="8"/>
        <rFont val="Arial"/>
        <family val="2"/>
      </rPr>
      <t>a7</t>
    </r>
    <r>
      <rPr>
        <b/>
        <sz val="10"/>
        <rFont val="Arial"/>
        <family val="2"/>
      </rPr>
      <t/>
    </r>
  </si>
  <si>
    <t>19.12.98</t>
  </si>
  <si>
    <r>
      <t xml:space="preserve">Petroperú - Terminales del Sur </t>
    </r>
    <r>
      <rPr>
        <vertAlign val="superscript"/>
        <sz val="9"/>
        <color indexed="8"/>
        <rFont val="Arial"/>
        <family val="2"/>
      </rPr>
      <t>a8</t>
    </r>
    <r>
      <rPr>
        <b/>
        <sz val="10"/>
        <rFont val="Arial"/>
        <family val="2"/>
      </rPr>
      <t/>
    </r>
  </si>
  <si>
    <t>30.12.97</t>
  </si>
  <si>
    <r>
      <t xml:space="preserve">Pesca Perú Callao Sur S.A.  </t>
    </r>
    <r>
      <rPr>
        <vertAlign val="superscript"/>
        <sz val="9"/>
        <color indexed="8"/>
        <rFont val="Arial"/>
        <family val="2"/>
      </rPr>
      <t>19</t>
    </r>
  </si>
  <si>
    <r>
      <t xml:space="preserve">Pesca Perú Chimbote Norte S.A.  </t>
    </r>
    <r>
      <rPr>
        <vertAlign val="superscript"/>
        <sz val="9"/>
        <color indexed="8"/>
        <rFont val="Arial"/>
        <family val="2"/>
      </rPr>
      <t>19</t>
    </r>
  </si>
  <si>
    <r>
      <t xml:space="preserve">Pesca Perú Pisco Sur S.A.  </t>
    </r>
    <r>
      <rPr>
        <vertAlign val="superscript"/>
        <sz val="9"/>
        <color indexed="8"/>
        <rFont val="Arial"/>
        <family val="2"/>
      </rPr>
      <t>19</t>
    </r>
  </si>
  <si>
    <t xml:space="preserve">TOTAL 1997    </t>
  </si>
  <si>
    <t>20.01.98</t>
  </si>
  <si>
    <r>
      <t xml:space="preserve">Emp.Reg.Ganadera Ucayali - activos   </t>
    </r>
    <r>
      <rPr>
        <vertAlign val="superscript"/>
        <sz val="9"/>
        <color indexed="8"/>
        <rFont val="Arial"/>
        <family val="2"/>
      </rPr>
      <t>19</t>
    </r>
  </si>
  <si>
    <t>Ganadería</t>
  </si>
  <si>
    <t>06.02.98</t>
  </si>
  <si>
    <t>Planta de Cemento Rioja</t>
  </si>
  <si>
    <t>30.03.98</t>
  </si>
  <si>
    <r>
      <t xml:space="preserve">Pesca Perú Pisco Norte S.A.   </t>
    </r>
    <r>
      <rPr>
        <vertAlign val="superscript"/>
        <sz val="9"/>
        <color indexed="8"/>
        <rFont val="Arial"/>
        <family val="2"/>
      </rPr>
      <t>19</t>
    </r>
  </si>
  <si>
    <t>06.04.98</t>
  </si>
  <si>
    <r>
      <t xml:space="preserve">Tierras P.E.Pastogrande - Zona Pampa Estuquiña (60 has) </t>
    </r>
    <r>
      <rPr>
        <vertAlign val="superscript"/>
        <sz val="8"/>
        <color indexed="8"/>
        <rFont val="Arial"/>
        <family val="2"/>
      </rPr>
      <t>19</t>
    </r>
  </si>
  <si>
    <t>02.07.98</t>
  </si>
  <si>
    <t>Tierras P.E.Pastogrande - Pampa del Palo (94.52 has))</t>
  </si>
  <si>
    <t>10.07.98</t>
  </si>
  <si>
    <t>Empresa Minera Cobriza S.A.</t>
  </si>
  <si>
    <t>15.07.98</t>
  </si>
  <si>
    <t>Tierras P.E. Chinecas (959.84 has)    **</t>
  </si>
  <si>
    <r>
      <t xml:space="preserve">Acc. Banco Continental - Tramo Internacional </t>
    </r>
    <r>
      <rPr>
        <vertAlign val="superscript"/>
        <sz val="9"/>
        <color indexed="8"/>
        <rFont val="Arial"/>
        <family val="2"/>
      </rPr>
      <t xml:space="preserve"> 47</t>
    </r>
  </si>
  <si>
    <r>
      <t xml:space="preserve">Acc. Banco Continental - Tramo Institucional Local </t>
    </r>
    <r>
      <rPr>
        <vertAlign val="superscript"/>
        <sz val="9"/>
        <color indexed="8"/>
        <rFont val="Arial"/>
        <family val="2"/>
      </rPr>
      <t xml:space="preserve"> 47</t>
    </r>
  </si>
  <si>
    <r>
      <t xml:space="preserve">Acc. Banco Continental - Tramo Minorista Local  </t>
    </r>
    <r>
      <rPr>
        <vertAlign val="superscript"/>
        <sz val="9"/>
        <color indexed="8"/>
        <rFont val="Arial"/>
        <family val="2"/>
      </rPr>
      <t>47</t>
    </r>
  </si>
  <si>
    <t>07.08.98</t>
  </si>
  <si>
    <t>Minero Perú - Concesiones de INIFOM</t>
  </si>
  <si>
    <t>26.08.98</t>
  </si>
  <si>
    <t xml:space="preserve">Tierras P.E. Chavimochic - Etapa II, saldo Etapa I (1,952.99 has)  </t>
  </si>
  <si>
    <t>01.09.98</t>
  </si>
  <si>
    <t>Tierras P.E.Majes - Siguas  (897 has)</t>
  </si>
  <si>
    <t>28.10.98</t>
  </si>
  <si>
    <r>
      <t xml:space="preserve">Complejo Agroindustrial de Chao    </t>
    </r>
    <r>
      <rPr>
        <vertAlign val="superscript"/>
        <sz val="9"/>
        <color indexed="8"/>
        <rFont val="Arial"/>
        <family val="2"/>
      </rPr>
      <t>48</t>
    </r>
  </si>
  <si>
    <t>Agroindustria</t>
  </si>
  <si>
    <t>05.11.98</t>
  </si>
  <si>
    <t>Tierras P.E.Jequetepeque - Zaña  (5.1 has)</t>
  </si>
  <si>
    <t>25.11.98</t>
  </si>
  <si>
    <r>
      <t xml:space="preserve">Electro Norte S.A.  </t>
    </r>
    <r>
      <rPr>
        <vertAlign val="superscript"/>
        <sz val="9"/>
        <color indexed="8"/>
        <rFont val="Arial"/>
        <family val="2"/>
      </rPr>
      <t xml:space="preserve">49              </t>
    </r>
    <r>
      <rPr>
        <sz val="9"/>
        <color indexed="8"/>
        <rFont val="Arial"/>
        <family val="2"/>
      </rPr>
      <t>*</t>
    </r>
  </si>
  <si>
    <r>
      <t xml:space="preserve">Electro Centro S.A. </t>
    </r>
    <r>
      <rPr>
        <vertAlign val="superscript"/>
        <sz val="9"/>
        <color indexed="8"/>
        <rFont val="Arial"/>
        <family val="2"/>
      </rPr>
      <t xml:space="preserve"> 49            </t>
    </r>
    <r>
      <rPr>
        <sz val="9"/>
        <color indexed="8"/>
        <rFont val="Arial"/>
        <family val="2"/>
      </rPr>
      <t xml:space="preserve"> *</t>
    </r>
  </si>
  <si>
    <r>
      <t xml:space="preserve">Electro Noroeste  S.A.  </t>
    </r>
    <r>
      <rPr>
        <vertAlign val="superscript"/>
        <sz val="9"/>
        <color indexed="8"/>
        <rFont val="Arial"/>
        <family val="2"/>
      </rPr>
      <t xml:space="preserve">49         </t>
    </r>
    <r>
      <rPr>
        <sz val="9"/>
        <color indexed="8"/>
        <rFont val="Arial"/>
        <family val="2"/>
      </rPr>
      <t>*</t>
    </r>
  </si>
  <si>
    <r>
      <t xml:space="preserve">Electro Norte Medio  S.A.  </t>
    </r>
    <r>
      <rPr>
        <vertAlign val="superscript"/>
        <sz val="9"/>
        <color indexed="8"/>
        <rFont val="Arial"/>
        <family val="2"/>
      </rPr>
      <t xml:space="preserve">49          </t>
    </r>
    <r>
      <rPr>
        <sz val="9"/>
        <color indexed="8"/>
        <rFont val="Arial"/>
        <family val="2"/>
      </rPr>
      <t>*</t>
    </r>
  </si>
  <si>
    <t>Cementos Norte Pacasmayo - Acciones remanentes</t>
  </si>
  <si>
    <t>26.11.98</t>
  </si>
  <si>
    <t>Tierras Eriazas  (3,119.03 has)</t>
  </si>
  <si>
    <t>02.12.98</t>
  </si>
  <si>
    <t>Tierras P.E.Chavimochic  (1,961 has)</t>
  </si>
  <si>
    <t>10.12.98</t>
  </si>
  <si>
    <t>Tierras P.E.Pasto Grande  (828 has)</t>
  </si>
  <si>
    <t>TOTAL 1998            *</t>
  </si>
  <si>
    <t>02.02.99</t>
  </si>
  <si>
    <t xml:space="preserve">Acc.Luz del Sur.  - Remanente acciones </t>
  </si>
  <si>
    <t>18.03.99</t>
  </si>
  <si>
    <t>Tierras P.E.Chira - Piura  (15.83 has)</t>
  </si>
  <si>
    <t>30.03.99</t>
  </si>
  <si>
    <t>Tierras P.E.Chavimochic  (259.96 has)</t>
  </si>
  <si>
    <t>29.04.99</t>
  </si>
  <si>
    <r>
      <t xml:space="preserve">Acc.Edegel - Remanente acciones  (1er tramo) </t>
    </r>
    <r>
      <rPr>
        <vertAlign val="superscript"/>
        <sz val="9"/>
        <color indexed="8"/>
        <rFont val="Arial"/>
        <family val="2"/>
      </rPr>
      <t xml:space="preserve"> 50</t>
    </r>
  </si>
  <si>
    <t>28.05.99</t>
  </si>
  <si>
    <t xml:space="preserve">Emp.Minera Paragsha S.A. (Cerro de Pasco)  </t>
  </si>
  <si>
    <t>15.06.99</t>
  </si>
  <si>
    <t>Planta Lechera de Tacna S.A.</t>
  </si>
  <si>
    <t>08.07.99</t>
  </si>
  <si>
    <t>Tierras Eriazas  (384.20 has)</t>
  </si>
  <si>
    <t>21.07.99</t>
  </si>
  <si>
    <t>Telefónica - Remanente acciones</t>
  </si>
  <si>
    <t>22.07.99</t>
  </si>
  <si>
    <t>Tierras P.E. Chinecas (3,143  has)</t>
  </si>
  <si>
    <t>12.08.99</t>
  </si>
  <si>
    <t>Tierras P.E. Chavimochic (1,092 has)</t>
  </si>
  <si>
    <t>01.10.99</t>
  </si>
  <si>
    <t>Minero Perú - Ccayo  Huinicunca</t>
  </si>
  <si>
    <t>07.10.99</t>
  </si>
  <si>
    <t xml:space="preserve">Acc.Egenor - Remanente acciones  </t>
  </si>
  <si>
    <t>10.11.99</t>
  </si>
  <si>
    <t>Tierras P.E. Jequetepeque-Zaña (5,764 has)</t>
  </si>
  <si>
    <t>(c5)</t>
  </si>
  <si>
    <t>23.11.99</t>
  </si>
  <si>
    <r>
      <t xml:space="preserve">Acc.Edegel - Remanente acciones  (2do tramo)  </t>
    </r>
    <r>
      <rPr>
        <vertAlign val="superscript"/>
        <sz val="9"/>
        <color indexed="8"/>
        <rFont val="Arial"/>
        <family val="2"/>
      </rPr>
      <t xml:space="preserve"> 51</t>
    </r>
  </si>
  <si>
    <t>26.11.99</t>
  </si>
  <si>
    <t>Tierras P.E. Chira - Piura (118 has)</t>
  </si>
  <si>
    <t>09.12.99</t>
  </si>
  <si>
    <t>Fundo Tournavista</t>
  </si>
  <si>
    <t xml:space="preserve">TOTAL 1999  </t>
  </si>
  <si>
    <t>14.01.00</t>
  </si>
  <si>
    <t>Centromín - Prospecto Minero Quicay</t>
  </si>
  <si>
    <t>27.01.00</t>
  </si>
  <si>
    <r>
      <t xml:space="preserve">Acc.Edegel - Remanente acciones  (3er tramo)  </t>
    </r>
    <r>
      <rPr>
        <vertAlign val="superscript"/>
        <sz val="9"/>
        <color indexed="8"/>
        <rFont val="Arial"/>
        <family val="2"/>
      </rPr>
      <t xml:space="preserve"> 52</t>
    </r>
  </si>
  <si>
    <t>16.02.00</t>
  </si>
  <si>
    <r>
      <t xml:space="preserve">Proyecto Camisea - Explotación   </t>
    </r>
    <r>
      <rPr>
        <vertAlign val="superscript"/>
        <sz val="9"/>
        <color indexed="8"/>
        <rFont val="Arial"/>
        <family val="2"/>
      </rPr>
      <t>a11</t>
    </r>
  </si>
  <si>
    <t>07.03.00</t>
  </si>
  <si>
    <t>Cahua y Pariac - Remanente acciones</t>
  </si>
  <si>
    <t>17.03.00</t>
  </si>
  <si>
    <t>Tierras P.E. Chavimochic (198 has)</t>
  </si>
  <si>
    <t>07.11.00</t>
  </si>
  <si>
    <t>Planta Lechera de Iquitos</t>
  </si>
  <si>
    <t>12 y 13.12.00</t>
  </si>
  <si>
    <t>TOTAL 2000</t>
  </si>
  <si>
    <t>08.01.01</t>
  </si>
  <si>
    <r>
      <t xml:space="preserve">Minero Perú - Prospecto Magistral    </t>
    </r>
    <r>
      <rPr>
        <vertAlign val="superscript"/>
        <sz val="9"/>
        <color indexed="8"/>
        <rFont val="Arial"/>
        <family val="2"/>
      </rPr>
      <t>53</t>
    </r>
  </si>
  <si>
    <t>29.01.01</t>
  </si>
  <si>
    <t>Tierras P.E. Chavimochic (916 has)</t>
  </si>
  <si>
    <t>14.02.01</t>
  </si>
  <si>
    <t>10 Prospectos Mineros</t>
  </si>
  <si>
    <t>22.03.01</t>
  </si>
  <si>
    <t>Participación Accionaria del 25% en ISCAYCRUZ</t>
  </si>
  <si>
    <t>19.06.01</t>
  </si>
  <si>
    <t>TECSUR S.A.A.</t>
  </si>
  <si>
    <t>11.07.01</t>
  </si>
  <si>
    <t>Tierras Eriazas  (174 has)</t>
  </si>
  <si>
    <t>20.07.01</t>
  </si>
  <si>
    <t>ELECTROANDES S.A.</t>
  </si>
  <si>
    <t>20.08.01</t>
  </si>
  <si>
    <r>
      <t xml:space="preserve">IMEX Callao    </t>
    </r>
    <r>
      <rPr>
        <vertAlign val="superscript"/>
        <sz val="9"/>
        <color indexed="8"/>
        <rFont val="Arial"/>
        <family val="2"/>
      </rPr>
      <t>54</t>
    </r>
  </si>
  <si>
    <t>16.10.01</t>
  </si>
  <si>
    <t xml:space="preserve">Area Experimental Proyecto Olmos </t>
  </si>
  <si>
    <t>25.10.01</t>
  </si>
  <si>
    <t xml:space="preserve">Tierras P.E. Chavimochic (4,220 has)   </t>
  </si>
  <si>
    <t>06.11.01</t>
  </si>
  <si>
    <t>2 inmuebles ubicados en Pta.Negra y Pta.Hermosa</t>
  </si>
  <si>
    <t>20.12.01</t>
  </si>
  <si>
    <t xml:space="preserve">Centromín - Unidad Minera Yauricocha </t>
  </si>
  <si>
    <t>Set-Dic 01</t>
  </si>
  <si>
    <t>Participaciones Minoritarias (Luz del Sur, Cervesur, Aceros Arequipa, Telefónica, Alicorp)</t>
  </si>
  <si>
    <t xml:space="preserve">TOTAL 2001  </t>
  </si>
  <si>
    <t>17.01.02</t>
  </si>
  <si>
    <t>Inmueble ubicado Carretera a Cajamarquilla (SBN)</t>
  </si>
  <si>
    <t>29.01.02</t>
  </si>
  <si>
    <t>Cartera Crédito MEF - COFIDE (Laboratorios Atral)</t>
  </si>
  <si>
    <t>30.01.02</t>
  </si>
  <si>
    <t>Compañía de Seg.de Crédito y Garantías SECREX</t>
  </si>
  <si>
    <t>Seguros</t>
  </si>
  <si>
    <t>29.02.02</t>
  </si>
  <si>
    <t>Inmueble ubicado Calle Punta Arenas, La Molina (SBN)</t>
  </si>
  <si>
    <t>25.03.02</t>
  </si>
  <si>
    <t>Edelnor - Remanente Acciones (1er Tramo)</t>
  </si>
  <si>
    <t>12.04.02</t>
  </si>
  <si>
    <r>
      <t xml:space="preserve">100% acc. Logística Integral Callao S.A. y Yauricocha S.A. </t>
    </r>
    <r>
      <rPr>
        <vertAlign val="superscript"/>
        <sz val="8"/>
        <color indexed="8"/>
        <rFont val="Arial"/>
        <family val="2"/>
      </rPr>
      <t>55</t>
    </r>
  </si>
  <si>
    <t>30.04.02</t>
  </si>
  <si>
    <t>Inmuebles ubicado La Molina (SBN)</t>
  </si>
  <si>
    <t>22.05.02</t>
  </si>
  <si>
    <t>Edelnor - Remanente Acciones (2do Tramo)</t>
  </si>
  <si>
    <t>26.09.02</t>
  </si>
  <si>
    <t>Inmuebles ubicados en Barranco, Surco, Panamericana (SBN)</t>
  </si>
  <si>
    <t>02.12.02</t>
  </si>
  <si>
    <t xml:space="preserve">Centromín - Proyecto Alto Chicama </t>
  </si>
  <si>
    <t>(c11)</t>
  </si>
  <si>
    <t>(c12)</t>
  </si>
  <si>
    <t>TOTAL 2002</t>
  </si>
  <si>
    <t>12.02.03</t>
  </si>
  <si>
    <t>Textil Piura</t>
  </si>
  <si>
    <t>23.04.03</t>
  </si>
  <si>
    <t>3 Prospectos Mineros</t>
  </si>
  <si>
    <t>06.05.03</t>
  </si>
  <si>
    <r>
      <t xml:space="preserve">Contrato de Suministro de Gas Natural    </t>
    </r>
    <r>
      <rPr>
        <vertAlign val="superscript"/>
        <sz val="9"/>
        <color indexed="8"/>
        <rFont val="Arial"/>
        <family val="2"/>
      </rPr>
      <t xml:space="preserve"> 57</t>
    </r>
  </si>
  <si>
    <t>07.05.03</t>
  </si>
  <si>
    <r>
      <t xml:space="preserve">Empresa Minera Natividad     </t>
    </r>
    <r>
      <rPr>
        <vertAlign val="superscript"/>
        <sz val="9"/>
        <color indexed="8"/>
        <rFont val="Arial"/>
        <family val="2"/>
      </rPr>
      <t>58</t>
    </r>
  </si>
  <si>
    <t>25.06.03</t>
  </si>
  <si>
    <t>Tierras eriazas en Arequipa</t>
  </si>
  <si>
    <t>26.06.03</t>
  </si>
  <si>
    <t>Tierras eriazas en Nazca</t>
  </si>
  <si>
    <t>27.06.03</t>
  </si>
  <si>
    <t>Tierras eriazas en La Libertad</t>
  </si>
  <si>
    <t>Ene-Oct 03</t>
  </si>
  <si>
    <t>14 Inmuebles (SBN y Electroperú)</t>
  </si>
  <si>
    <t>TOTAL 2003  **</t>
  </si>
  <si>
    <t>22.01.04</t>
  </si>
  <si>
    <t>Positiva Cía. de Seguros</t>
  </si>
  <si>
    <t>03.02.04</t>
  </si>
  <si>
    <r>
      <t xml:space="preserve">Prospectos Mineros </t>
    </r>
    <r>
      <rPr>
        <sz val="8"/>
        <color indexed="8"/>
        <rFont val="Arial"/>
        <family val="2"/>
      </rPr>
      <t>(Huarangayoc/Pira y Winicocha)</t>
    </r>
  </si>
  <si>
    <t>23.03.04</t>
  </si>
  <si>
    <t>Refinería La Pampilla - Acciones Remanentes</t>
  </si>
  <si>
    <t>31.03.04</t>
  </si>
  <si>
    <r>
      <t>Prospectos Mineros</t>
    </r>
    <r>
      <rPr>
        <sz val="8"/>
        <color indexed="8"/>
        <rFont val="Arial"/>
        <family val="2"/>
      </rPr>
      <t xml:space="preserve"> (Mishky/Tinoray, Puy Puy y Yanacollpa)</t>
    </r>
  </si>
  <si>
    <t>Mar-Ago 04</t>
  </si>
  <si>
    <t>5 Inmuebles (ETECEN, Ministerio de Defensa SBN, F.A.)</t>
  </si>
  <si>
    <t>31.08.04</t>
  </si>
  <si>
    <r>
      <t xml:space="preserve">Proyecto Minero Las Bambas </t>
    </r>
    <r>
      <rPr>
        <vertAlign val="superscript"/>
        <sz val="9"/>
        <color indexed="8"/>
        <rFont val="Arial"/>
        <family val="2"/>
      </rPr>
      <t xml:space="preserve"> </t>
    </r>
    <r>
      <rPr>
        <sz val="9"/>
        <color indexed="8"/>
        <rFont val="Arial"/>
        <family val="2"/>
      </rPr>
      <t>(Opción)</t>
    </r>
  </si>
  <si>
    <t>(c7)</t>
  </si>
  <si>
    <t>(c8)</t>
  </si>
  <si>
    <t>01.09.04</t>
  </si>
  <si>
    <t>Agroindustrias San Jacinto S.A.A. - Acciones</t>
  </si>
  <si>
    <t>TOTAL 2004  ***</t>
  </si>
  <si>
    <t>20.01.05</t>
  </si>
  <si>
    <t>Empresa Agraria Azucarera Andahuasi S.A.A</t>
  </si>
  <si>
    <t>21.01.05</t>
  </si>
  <si>
    <t>Red Eléctrica del Sur S.A. - REDESUR</t>
  </si>
  <si>
    <t>15.03.05</t>
  </si>
  <si>
    <r>
      <t xml:space="preserve">Proyecto Bayóvar   </t>
    </r>
    <r>
      <rPr>
        <vertAlign val="superscript"/>
        <sz val="9"/>
        <color indexed="8"/>
        <rFont val="Arial"/>
        <family val="2"/>
      </rPr>
      <t>60</t>
    </r>
  </si>
  <si>
    <t>28.03.05</t>
  </si>
  <si>
    <t>Empresa de la Sal S.A. - EMSAL</t>
  </si>
  <si>
    <t>29.04.05</t>
  </si>
  <si>
    <t>Complejo Turístico El Chaco – La Puntilla - Lote B</t>
  </si>
  <si>
    <t>01.07.05</t>
  </si>
  <si>
    <t>Interconexión Eléctrica ISA PERÚ S.A.</t>
  </si>
  <si>
    <t>04.07.05</t>
  </si>
  <si>
    <t>Negociación Agrícola Vista Alegre S.A. - NAVASA</t>
  </si>
  <si>
    <t>02.07.05</t>
  </si>
  <si>
    <t>Empresa Agraria El Ingenio</t>
  </si>
  <si>
    <t>16.12.05</t>
  </si>
  <si>
    <t>Proyecto Cuprífero La Granja</t>
  </si>
  <si>
    <t>Ene - Dic 05</t>
  </si>
  <si>
    <t>Inmuebles del Estado</t>
  </si>
  <si>
    <t>TOTAL 2005</t>
  </si>
  <si>
    <t>16.01.06</t>
  </si>
  <si>
    <t>Complejo Agroindustrial Cartavio S.A.A.</t>
  </si>
  <si>
    <t>Empresa Agrícola San Juan S.A.</t>
  </si>
  <si>
    <t>25.01.06</t>
  </si>
  <si>
    <t>Empresa Agroindustrial Casa Grande S.A.A.</t>
  </si>
  <si>
    <t>12.04.06</t>
  </si>
  <si>
    <r>
      <t xml:space="preserve">Acceso a Internet en capitales de distrito del Perú - </t>
    </r>
    <r>
      <rPr>
        <sz val="8"/>
        <color indexed="8"/>
        <rFont val="Arial"/>
        <family val="2"/>
      </rPr>
      <t>1ra Etapa</t>
    </r>
  </si>
  <si>
    <t>28.06.06</t>
  </si>
  <si>
    <t>Empresa Siderúgica del Perú S.A.A. - SIDERPERÚ</t>
  </si>
  <si>
    <t>Mar - Dic 06</t>
  </si>
  <si>
    <t>14.09.06</t>
  </si>
  <si>
    <t>Consorcio Transmantaro S.A.</t>
  </si>
  <si>
    <t>27.09.06</t>
  </si>
  <si>
    <t>Empresa Eléctrica de Piura</t>
  </si>
  <si>
    <t>TOTAL 2006</t>
  </si>
  <si>
    <t>Ene - Dic. 07</t>
  </si>
  <si>
    <t>07.02.07</t>
  </si>
  <si>
    <t>Complejo Turístico El Chaco – La Puntilla - Lote A</t>
  </si>
  <si>
    <t>30.04.07</t>
  </si>
  <si>
    <t>Proyecto Minero Michiquillay</t>
  </si>
  <si>
    <t>Mineria</t>
  </si>
  <si>
    <t>20.07.07</t>
  </si>
  <si>
    <t>Complejo Turístico El Chaco – La Puntilla - Lote C</t>
  </si>
  <si>
    <t>27.08.07</t>
  </si>
  <si>
    <t>Cemento Andino</t>
  </si>
  <si>
    <t>29.08.07</t>
  </si>
  <si>
    <t>Bayóvar (Seguna Fase)</t>
  </si>
  <si>
    <t>TOTAL 2007</t>
  </si>
  <si>
    <t>Ene - 4/Dic - 18</t>
  </si>
  <si>
    <t>26.04.08</t>
  </si>
  <si>
    <r>
      <t xml:space="preserve">Proyecto Toromocho   </t>
    </r>
    <r>
      <rPr>
        <vertAlign val="superscript"/>
        <sz val="9"/>
        <color indexed="8"/>
        <rFont val="Arial"/>
        <family val="2"/>
      </rPr>
      <t>b3</t>
    </r>
  </si>
  <si>
    <t>28.10.08</t>
  </si>
  <si>
    <r>
      <t xml:space="preserve">Empresa de Generación Eléctrica de Lima (Edegel) </t>
    </r>
    <r>
      <rPr>
        <vertAlign val="superscript"/>
        <sz val="9"/>
        <color indexed="8"/>
        <rFont val="Arial"/>
        <family val="2"/>
      </rPr>
      <t xml:space="preserve">  e1</t>
    </r>
  </si>
  <si>
    <t>TOTAL 2008</t>
  </si>
  <si>
    <t>10.08.09</t>
  </si>
  <si>
    <t>TOTAL 2009</t>
  </si>
  <si>
    <t>22.07.10</t>
  </si>
  <si>
    <r>
      <t xml:space="preserve">Inmueble Cuartel San Martín </t>
    </r>
    <r>
      <rPr>
        <vertAlign val="superscript"/>
        <sz val="9"/>
        <color indexed="8"/>
        <rFont val="Arial"/>
        <family val="2"/>
      </rPr>
      <t>e2</t>
    </r>
  </si>
  <si>
    <t>Inmuebles</t>
  </si>
  <si>
    <t>105 612 000.00</t>
  </si>
  <si>
    <t>02.09.10</t>
  </si>
  <si>
    <t>Proyecto Minero Las Bambas (Transferencia)</t>
  </si>
  <si>
    <t>c(9)</t>
  </si>
  <si>
    <t>20.12.10</t>
  </si>
  <si>
    <t>Venta acciones de empresa Inmobiliaria Milenia S.A. – INMISA</t>
  </si>
  <si>
    <t>Mercado de Capitales</t>
  </si>
  <si>
    <t>TOTAL 2010</t>
  </si>
  <si>
    <t>10.03.11</t>
  </si>
  <si>
    <t>Proyecto turístico El Chaco La Puntilla Lote D</t>
  </si>
  <si>
    <t>07.07.11</t>
  </si>
  <si>
    <t>Ex Hoteles de Turistas (Iquitos)</t>
  </si>
  <si>
    <t>13.07.11</t>
  </si>
  <si>
    <t>Consorcio Hotelero del Norte</t>
  </si>
  <si>
    <t>24.08.11</t>
  </si>
  <si>
    <t>Ex Hoteles de Turistas (Chimbote)</t>
  </si>
  <si>
    <t>TOTAL 2011</t>
  </si>
  <si>
    <t>18.05.12</t>
  </si>
  <si>
    <t>Empresa Agroindustrial Tumán</t>
  </si>
  <si>
    <t>28.05.12</t>
  </si>
  <si>
    <t>Empresa Agroindustrial Pomalca</t>
  </si>
  <si>
    <t>Venta del inmueble del FCR "Parque Unión" y "Fundo SAMAR"</t>
  </si>
  <si>
    <t>TOTAL 2012</t>
  </si>
  <si>
    <t>11.01.13</t>
  </si>
  <si>
    <t>Ex Hoteles de Turistas Monterrey Huaraz e Ica.</t>
  </si>
  <si>
    <t>08 y 13.08.13</t>
  </si>
  <si>
    <t>Venta de acciones de las empresas Telefónica S.A. y Telefónica del Perú S.A.A.</t>
  </si>
  <si>
    <t>TOTAL 2013</t>
  </si>
  <si>
    <t>26.05.14</t>
  </si>
  <si>
    <t>Subasta Pública de Tierras de Uso No Agrícola del Proyecto Chavimochic: Inmuebles 2, 3, 4 y 9</t>
  </si>
  <si>
    <t>26.06.14</t>
  </si>
  <si>
    <t>Inmueble Nº 04 California</t>
  </si>
  <si>
    <t>TOTAL 2014</t>
  </si>
  <si>
    <t>TOTAL</t>
  </si>
  <si>
    <t>A3. VENTA DE ACTIVOS MENORES - OTROS INGRESOS</t>
  </si>
  <si>
    <t>1993-2005</t>
  </si>
  <si>
    <t>VARIOS</t>
  </si>
  <si>
    <t>TOTAL ACTIVOS MENORES - OTROS INGRESOS</t>
  </si>
  <si>
    <t>TOTAL VENTAS  (A1+A2+A3)</t>
  </si>
  <si>
    <t xml:space="preserve">B. CONCESIONES </t>
  </si>
  <si>
    <t>B.1.   CON INTERVENCIÓN DE PROMCEPRI</t>
  </si>
  <si>
    <t>15.01.98</t>
  </si>
  <si>
    <t>Línea de Transmisión Eléctrica Mantaro Socabaya</t>
  </si>
  <si>
    <t>07.05.98</t>
  </si>
  <si>
    <t>Banda B de Telefonía Celular fuera de Lima</t>
  </si>
  <si>
    <t xml:space="preserve">TOTAL     </t>
  </si>
  <si>
    <t>B.2. CON INTERVENCIÓN DE PROINVERSIÓN (ANTES COPRI)</t>
  </si>
  <si>
    <t>16.06.93</t>
  </si>
  <si>
    <r>
      <t>Corpac - Playa Estac Aerop. J. Chavez.</t>
    </r>
    <r>
      <rPr>
        <vertAlign val="superscript"/>
        <sz val="9"/>
        <color indexed="8"/>
        <rFont val="Arial"/>
        <family val="2"/>
      </rPr>
      <t>a1</t>
    </r>
  </si>
  <si>
    <t>17.11.93</t>
  </si>
  <si>
    <r>
      <t xml:space="preserve">Corpac - Duty Free </t>
    </r>
    <r>
      <rPr>
        <vertAlign val="superscript"/>
        <sz val="9"/>
        <color indexed="8"/>
        <rFont val="Arial"/>
        <family val="2"/>
      </rPr>
      <t>a2</t>
    </r>
  </si>
  <si>
    <r>
      <t xml:space="preserve">Entur Perú - Machu Picchu Ruinas </t>
    </r>
    <r>
      <rPr>
        <vertAlign val="superscript"/>
        <sz val="9"/>
        <color indexed="8"/>
        <rFont val="Arial"/>
        <family val="2"/>
      </rPr>
      <t>a3</t>
    </r>
  </si>
  <si>
    <r>
      <t>San Antonio de Abad</t>
    </r>
    <r>
      <rPr>
        <vertAlign val="superscript"/>
        <sz val="9"/>
        <color indexed="8"/>
        <rFont val="Arial"/>
        <family val="2"/>
      </rPr>
      <t>a3</t>
    </r>
  </si>
  <si>
    <t>29.01.99</t>
  </si>
  <si>
    <r>
      <t>Reforzamiento Sistemas Eléctricos Transmisión Sur</t>
    </r>
    <r>
      <rPr>
        <vertAlign val="superscript"/>
        <sz val="9"/>
        <color indexed="8"/>
        <rFont val="Arial"/>
        <family val="2"/>
      </rPr>
      <t xml:space="preserve"> a7</t>
    </r>
  </si>
  <si>
    <t>31.05.99</t>
  </si>
  <si>
    <r>
      <t xml:space="preserve">Terminal Portuario de Matarani  </t>
    </r>
    <r>
      <rPr>
        <vertAlign val="superscript"/>
        <sz val="9"/>
        <color indexed="8"/>
        <rFont val="Arial"/>
        <family val="2"/>
      </rPr>
      <t>a8</t>
    </r>
  </si>
  <si>
    <t>Puertos</t>
  </si>
  <si>
    <r>
      <t xml:space="preserve">Sistema Ferroviario (Centro, Sur y Sur Oriente)    </t>
    </r>
    <r>
      <rPr>
        <vertAlign val="superscript"/>
        <sz val="9"/>
        <color indexed="8"/>
        <rFont val="Arial"/>
        <family val="2"/>
      </rPr>
      <t>a9</t>
    </r>
  </si>
  <si>
    <t>11.01.00</t>
  </si>
  <si>
    <r>
      <t xml:space="preserve">Proyecto Chillón   </t>
    </r>
    <r>
      <rPr>
        <vertAlign val="superscript"/>
        <sz val="9"/>
        <color indexed="8"/>
        <rFont val="Arial"/>
        <family val="2"/>
      </rPr>
      <t>a10</t>
    </r>
  </si>
  <si>
    <t>Saneamiento</t>
  </si>
  <si>
    <t>29.03.00</t>
  </si>
  <si>
    <r>
      <t xml:space="preserve">Servicio de Comunicaciones Personales - PCS </t>
    </r>
    <r>
      <rPr>
        <vertAlign val="superscript"/>
        <sz val="9"/>
        <color indexed="8"/>
        <rFont val="Arial"/>
        <family val="2"/>
      </rPr>
      <t xml:space="preserve"> a12</t>
    </r>
  </si>
  <si>
    <t>Telecomunicaciones</t>
  </si>
  <si>
    <t>20.06.00</t>
  </si>
  <si>
    <r>
      <t xml:space="preserve">Servicio Telefonía Local y Serv.Portador Local  </t>
    </r>
    <r>
      <rPr>
        <vertAlign val="superscript"/>
        <sz val="9"/>
        <color indexed="8"/>
        <rFont val="Arial"/>
        <family val="2"/>
      </rPr>
      <t>a13</t>
    </r>
  </si>
  <si>
    <r>
      <t xml:space="preserve">Servicio Telefonía Local y Serv.Portador Local  </t>
    </r>
    <r>
      <rPr>
        <vertAlign val="superscript"/>
        <sz val="9"/>
        <color indexed="8"/>
        <rFont val="Arial"/>
        <family val="2"/>
      </rPr>
      <t>a14</t>
    </r>
  </si>
  <si>
    <t>20.10.00</t>
  </si>
  <si>
    <r>
      <t xml:space="preserve">Proyecto de Camisea - Transporte y Distribución  </t>
    </r>
    <r>
      <rPr>
        <vertAlign val="superscript"/>
        <sz val="9"/>
        <color indexed="8"/>
        <rFont val="Arial"/>
        <family val="2"/>
      </rPr>
      <t>a15</t>
    </r>
  </si>
  <si>
    <t>15.11.00</t>
  </si>
  <si>
    <r>
      <t xml:space="preserve">Aeropuerto Internacional Jorge Chávez  </t>
    </r>
    <r>
      <rPr>
        <vertAlign val="superscript"/>
        <sz val="9"/>
        <color indexed="8"/>
        <rFont val="Arial"/>
        <family val="2"/>
      </rPr>
      <t xml:space="preserve"> a16</t>
    </r>
  </si>
  <si>
    <t>12.12.00</t>
  </si>
  <si>
    <t xml:space="preserve">Servicio Telefonía Local y Serv.Portador Local   </t>
  </si>
  <si>
    <t>16.02.01</t>
  </si>
  <si>
    <t>L.E. Pachachaca-Oroya-Carhuamayo-D.Antamina y Aguaytía-Pucallpa</t>
  </si>
  <si>
    <t>24.05.02</t>
  </si>
  <si>
    <r>
      <t xml:space="preserve">Red vial Nº 5: Tramo Ancón-Huacho-Pativilca  </t>
    </r>
    <r>
      <rPr>
        <vertAlign val="superscript"/>
        <sz val="9"/>
        <color indexed="8"/>
        <rFont val="Arial"/>
        <family val="2"/>
      </rPr>
      <t>a17</t>
    </r>
  </si>
  <si>
    <t>05.06.02</t>
  </si>
  <si>
    <r>
      <t xml:space="preserve">ETECEN - ETESUR    </t>
    </r>
    <r>
      <rPr>
        <vertAlign val="superscript"/>
        <sz val="9"/>
        <color indexed="8"/>
        <rFont val="Arial"/>
        <family val="2"/>
      </rPr>
      <t>a19</t>
    </r>
  </si>
  <si>
    <t>16.07.02</t>
  </si>
  <si>
    <r>
      <t xml:space="preserve">Centro Ecológico Recreacional de Huachipa   </t>
    </r>
    <r>
      <rPr>
        <vertAlign val="superscript"/>
        <sz val="9"/>
        <color indexed="8"/>
        <rFont val="Arial"/>
        <family val="2"/>
      </rPr>
      <t>a18</t>
    </r>
  </si>
  <si>
    <t>17.05.04</t>
  </si>
  <si>
    <r>
      <t xml:space="preserve">Proyecto Olmos  </t>
    </r>
    <r>
      <rPr>
        <vertAlign val="superscript"/>
        <sz val="9"/>
        <color indexed="8"/>
        <rFont val="Arial"/>
        <family val="2"/>
      </rPr>
      <t>a20</t>
    </r>
  </si>
  <si>
    <t>30.03.05</t>
  </si>
  <si>
    <t xml:space="preserve">Servicio de Comunicaciones Personales-PCS (Banda C) </t>
  </si>
  <si>
    <t>05.05.05</t>
  </si>
  <si>
    <t>Eje Multimodal del Amazonas Norte de IIRSA</t>
  </si>
  <si>
    <t>23.06.05</t>
  </si>
  <si>
    <t>Corredor vial Interoceánico Sur:  Tramo 2, 3 y 4</t>
  </si>
  <si>
    <t>20.07.05</t>
  </si>
  <si>
    <r>
      <t xml:space="preserve">Red vial Nº 6: Tramo Puente Pucusana-Cerro Azul-Chinca-Pisco-Ica </t>
    </r>
    <r>
      <rPr>
        <vertAlign val="superscript"/>
        <sz val="9"/>
        <color indexed="8"/>
        <rFont val="Arial"/>
        <family val="2"/>
      </rPr>
      <t>a21</t>
    </r>
  </si>
  <si>
    <t>22.07.05</t>
  </si>
  <si>
    <r>
      <t xml:space="preserve">Servicios de Agua y Desagûe de Tumbes </t>
    </r>
    <r>
      <rPr>
        <vertAlign val="superscript"/>
        <sz val="9"/>
        <color indexed="8"/>
        <rFont val="Arial"/>
        <family val="2"/>
      </rPr>
      <t xml:space="preserve"> a22</t>
    </r>
  </si>
  <si>
    <r>
      <t xml:space="preserve">Telefonía Fija Local y Portador Local </t>
    </r>
    <r>
      <rPr>
        <vertAlign val="superscript"/>
        <sz val="9"/>
        <color indexed="8"/>
        <rFont val="Arial"/>
        <family val="2"/>
      </rPr>
      <t>a27</t>
    </r>
  </si>
  <si>
    <t>(c15)</t>
  </si>
  <si>
    <t>19.06.06</t>
  </si>
  <si>
    <r>
      <t xml:space="preserve">Terminal Portuario del Callao Nuevo Terminal de Contenedores – Muelle Sur    </t>
    </r>
    <r>
      <rPr>
        <vertAlign val="superscript"/>
        <sz val="9"/>
        <color indexed="8"/>
        <rFont val="Arial"/>
        <family val="2"/>
      </rPr>
      <t>a23</t>
    </r>
  </si>
  <si>
    <t>18.08.06</t>
  </si>
  <si>
    <t>Primer Grupo de Aeropuertos Regionales</t>
  </si>
  <si>
    <t>31.10.06</t>
  </si>
  <si>
    <t>Tramo Empalme 1B - Buenos Aires - Canchaque</t>
  </si>
  <si>
    <t>27.07.07</t>
  </si>
  <si>
    <t>Servicio Público Mobil en la Banda B</t>
  </si>
  <si>
    <t>Servicio de Comunicaciones Personales Bandas D y E</t>
  </si>
  <si>
    <t>Corredor Vial Interoceánico Sur:  Tramo 1 y 5</t>
  </si>
  <si>
    <t>28.12.07</t>
  </si>
  <si>
    <t>Servicios Públicos de Telecomunicaciones en la Banda 900 MHZ.</t>
  </si>
  <si>
    <t>09.01.08</t>
  </si>
  <si>
    <t>Servicios Públicos de Telecomunicaciones en la Banda 450 MHZ.</t>
  </si>
  <si>
    <t>26.02.08</t>
  </si>
  <si>
    <t>Línea de Transmisión Eléctrica Carhuamayo – Paragsha – Conococha – Huallanca – Cajamarca – Cerro Corona – Carhuaquero</t>
  </si>
  <si>
    <t>25.04.08</t>
  </si>
  <si>
    <t>Gasoducto Regional de Ica</t>
  </si>
  <si>
    <t>29.04.08</t>
  </si>
  <si>
    <t>Línea de Transmisión Eléctrica Mantaro - Caravelí - Montalvo y Machu Picchu Cotaruse</t>
  </si>
  <si>
    <t>17.06.08</t>
  </si>
  <si>
    <t>Línea de Transmisión Eléctrica Chilca - La Planicie - Zapallal</t>
  </si>
  <si>
    <t>24.10.08</t>
  </si>
  <si>
    <t>Abastecimiento de Agua Potable para Lima (Huascacocha - Rímac)</t>
  </si>
  <si>
    <t>07.11.08</t>
  </si>
  <si>
    <t>Programa Costa – Sierra: Ovalo Chancay – Desvío Variante Pasamayo - Huaral – Acos</t>
  </si>
  <si>
    <t>18.12.08</t>
  </si>
  <si>
    <t>Red Vial 4: Tramos Pativilca - Trujillo</t>
  </si>
  <si>
    <t>26.01.09</t>
  </si>
  <si>
    <t>Programa Costa Sierra: Nuevo Mocupe – Cayaltí – Oyotún</t>
  </si>
  <si>
    <t>26.02.09</t>
  </si>
  <si>
    <r>
      <t xml:space="preserve">Planta de Tratamiento de Aguas Residuales “Taboada” </t>
    </r>
    <r>
      <rPr>
        <vertAlign val="superscript"/>
        <sz val="9"/>
        <color indexed="8"/>
        <rFont val="Arial"/>
        <family val="2"/>
      </rPr>
      <t>a28</t>
    </r>
  </si>
  <si>
    <t>31.03.09</t>
  </si>
  <si>
    <t>Concesión Terminal Portuario de Paita</t>
  </si>
  <si>
    <t>08.06.09</t>
  </si>
  <si>
    <t>Banda 821-824 Mhz y 866-869 Mhz</t>
  </si>
  <si>
    <t>19.06.09</t>
  </si>
  <si>
    <t>Concesión Autopista del Sol Tramo Trujillo-Sullana</t>
  </si>
  <si>
    <t>06.08.09</t>
  </si>
  <si>
    <r>
      <t>Concesión de la Banda WiMax (2 668-2 692 MHz y 2 668-2 690 MHz</t>
    </r>
    <r>
      <rPr>
        <sz val="10"/>
        <color indexed="8"/>
        <rFont val="Arial"/>
        <family val="2"/>
      </rPr>
      <t xml:space="preserve"> )</t>
    </r>
  </si>
  <si>
    <t>12.10.09</t>
  </si>
  <si>
    <t>Suministro de energia de nuevas centrales hidroeléctricas</t>
  </si>
  <si>
    <t>06.11.09</t>
  </si>
  <si>
    <t>Linea de Transmisión Zapallal Trujillo 500 kV</t>
  </si>
  <si>
    <t>30.04.10</t>
  </si>
  <si>
    <t>Línea de Transmisión 500 kV Chilca-Marcona-Montalvo</t>
  </si>
  <si>
    <t>08.07.10</t>
  </si>
  <si>
    <t>Línea de Transmisión Tintaya-Socabaya en 220 Kv y subestaciones asociadas</t>
  </si>
  <si>
    <t>Línea de transmisión 220 Kv entre Talara y Piura</t>
  </si>
  <si>
    <t>27.07.10</t>
  </si>
  <si>
    <t>Eje del Amazonas Centro de IIRSA: Tramo 2 del Eje Multimodal</t>
  </si>
  <si>
    <t>07.09.10</t>
  </si>
  <si>
    <t>Segundo Grupo de Aeropuertos Regionales</t>
  </si>
  <si>
    <t>15.09.10</t>
  </si>
  <si>
    <t>Majes - Siguas II</t>
  </si>
  <si>
    <t>18.11.10</t>
  </si>
  <si>
    <t>L.T. Machupicchu-Abancay-Cotaruse de 220 kV</t>
  </si>
  <si>
    <r>
      <t xml:space="preserve">Planta de Tratamiento de aguas residuales y emisor submarino "La Chira" </t>
    </r>
    <r>
      <rPr>
        <vertAlign val="superscript"/>
        <sz val="9"/>
        <color indexed="8"/>
        <rFont val="Arial"/>
        <family val="2"/>
      </rPr>
      <t>a28</t>
    </r>
  </si>
  <si>
    <t>25.11.10</t>
  </si>
  <si>
    <t>Reserva Fría de generación  800 MW (2 x 200 + 1 x 400)</t>
  </si>
  <si>
    <t>27.01.11</t>
  </si>
  <si>
    <t>Banda C de 1900 MHz. (Cuarto Operador)</t>
  </si>
  <si>
    <t>(c16)</t>
  </si>
  <si>
    <t>22.02.11</t>
  </si>
  <si>
    <t>Proyecto Especial Sistema Eléctrico de Transporte Masivo de Lima y Callao, Línea 1, Villa el Salvador – Av. Grau – San Juan de Lurigancho</t>
  </si>
  <si>
    <t>24.03.11</t>
  </si>
  <si>
    <t>Energía de Centrales Hidroeléctricas 500 MW</t>
  </si>
  <si>
    <t>(c13)</t>
  </si>
  <si>
    <t>31.03.11</t>
  </si>
  <si>
    <t>Línea de Transmisión Trujillo - Chiclayo en 500 KV</t>
  </si>
  <si>
    <t>01.04.11</t>
  </si>
  <si>
    <t>Terminal Norte Multipropósito en el Terminal Portuario del Callao</t>
  </si>
  <si>
    <t>(c14)</t>
  </si>
  <si>
    <t>07.04.11</t>
  </si>
  <si>
    <t>Reserva Fría de Generación: Planta Eten 200 Mw 
(ubicación anterior Trujillo)</t>
  </si>
  <si>
    <t>27.04.11</t>
  </si>
  <si>
    <t>Terminal Poruario de Yurimaguas - Nueva Reforma</t>
  </si>
  <si>
    <t>15.12.11</t>
  </si>
  <si>
    <t>Banda 10.15-10.30 GHz y 10.50-10.65 GHz en la provincia de Lima y provincia constitucional del Callao</t>
  </si>
  <si>
    <t>10.05.12</t>
  </si>
  <si>
    <t xml:space="preserve">Reserva Fría de Generación: Plantas: Pucallpa y Puerto Maldonado </t>
  </si>
  <si>
    <t>14.08.12</t>
  </si>
  <si>
    <t>Bandas 899-915 MHz y 944-960 MHz en la provinccia de Lima y la Provincia Constitucional del Callao y las Bandas 902-915 MHz y 947-960 MHz en el resto del país.</t>
  </si>
  <si>
    <t>(c17)</t>
  </si>
  <si>
    <t>16.08.12</t>
  </si>
  <si>
    <t xml:space="preserve">Panamericana Sur: Ica - Frontera con Chile  (Tramo Dv. Quilca – Dv. Arequipa;      Dv. Matarani – Dv. Moquegua; Dv. Ilo – Tacna – La Concordia) </t>
  </si>
  <si>
    <t>22.11.12</t>
  </si>
  <si>
    <t>Línea de Transmisión Carhuaquero - Cajamarca Norte - Cáclic - Moyobamba en 220 KV.</t>
  </si>
  <si>
    <t>12.12.12</t>
  </si>
  <si>
    <t>Chaco la Puntilla Lote E</t>
  </si>
  <si>
    <t>(c21)</t>
  </si>
  <si>
    <t>21.02.13</t>
  </si>
  <si>
    <t>Línea de Transmisión - Machupicchu - Quencoro - Onocora - Tintaya y Subestaciones Asociadas</t>
  </si>
  <si>
    <t>21.03.13</t>
  </si>
  <si>
    <t>Energía de Centrales Hidroléctricas (CH Molloco)</t>
  </si>
  <si>
    <t>16.05.13</t>
  </si>
  <si>
    <t>Suministro de Energía para Iquitos</t>
  </si>
  <si>
    <t>18.07.13</t>
  </si>
  <si>
    <t>Línea de Transmisión 500 kV Mantaro – Marcona – Socabaya – Montalvo y Subestaciones Asociadas</t>
  </si>
  <si>
    <t>22.07.13</t>
  </si>
  <si>
    <t>Concesión Única para la Prestación de Servicios Públicos de Telecomunicaciones y Asignación de las Bandas 1710-1770 MHz y 2110-2170 MHz a Nivel Nacional</t>
  </si>
  <si>
    <t>25.07.13</t>
  </si>
  <si>
    <t>Masificación del Uso de Gas Natural a Nivel Nacional</t>
  </si>
  <si>
    <t>17.12.13</t>
  </si>
  <si>
    <t>Provisión de Servicios de Saneamiento para los Distritos del Sur de Lima</t>
  </si>
  <si>
    <t>18.12.13</t>
  </si>
  <si>
    <t>Proyecto Chavimochic - Tercera etapa</t>
  </si>
  <si>
    <t>irrigación</t>
  </si>
  <si>
    <t>19.12.13</t>
  </si>
  <si>
    <t>Longitudinal de la Sierra Tramo 2: Ciudad de Dios-Cajamarca-Chipe, Cajamarca-Trujillo y Dv. Chilete-Empalme PE-3N.</t>
  </si>
  <si>
    <t>23.12.13</t>
  </si>
  <si>
    <t>Red Dorsal Nacional de Fibra Óptica: Cobertura Universal Norte, Conbertura Universal Sur y Cobertura Universal Centro</t>
  </si>
  <si>
    <t>28.03.14</t>
  </si>
  <si>
    <t>Línea 2 y Ramal Av. Faucett - Av. Gambetta de la Red  Básica del Metro de Lima y Callao</t>
  </si>
  <si>
    <t>(c18)</t>
  </si>
  <si>
    <t>25.04.14</t>
  </si>
  <si>
    <t>Aeropuerto Internacional Chinchero - Cusco</t>
  </si>
  <si>
    <t>(c19)</t>
  </si>
  <si>
    <t>30.04.14</t>
  </si>
  <si>
    <t>Terminal Portuario General San Martín - Pisco</t>
  </si>
  <si>
    <t>(c20)</t>
  </si>
  <si>
    <t>29.05.14</t>
  </si>
  <si>
    <t>Línea de Transmisión 220 kV La Planicie - Industriales y Subestaciones Asociadas</t>
  </si>
  <si>
    <t>30.05.14</t>
  </si>
  <si>
    <t>Sistema de Telecabinas de Kuélap</t>
  </si>
  <si>
    <t>05.06.14</t>
  </si>
  <si>
    <t>Línea de Transmisión 220 kV Moyobamba - Iquitos y Subestaciones Asociadas</t>
  </si>
  <si>
    <t>30.06.14</t>
  </si>
  <si>
    <r>
      <t xml:space="preserve">Mejoras a la Seguridad Energética del País y Desarrollo del Gaseoducto Sur Peruano </t>
    </r>
    <r>
      <rPr>
        <vertAlign val="superscript"/>
        <sz val="9"/>
        <color indexed="8"/>
        <rFont val="Arial"/>
        <family val="2"/>
      </rPr>
      <t>a29</t>
    </r>
  </si>
  <si>
    <t>07.08.14</t>
  </si>
  <si>
    <t>Línea de Transmisión 220 kV Friaspata – Mollepata y Subestación Orcotuna 220/60 kV</t>
  </si>
  <si>
    <t>12.02.15</t>
  </si>
  <si>
    <t>Línea de Transmisión Azángaro – Juliaca – Puno 220 kV</t>
  </si>
  <si>
    <t>22.07.15</t>
  </si>
  <si>
    <t>Primera Etapa de la Subestación Carapongo y Enlaces de Conexión a Líneas Asociadas</t>
  </si>
  <si>
    <t>16.12.15</t>
  </si>
  <si>
    <t>Línea de Transmisión 220 kV Montalvo - Los Héroes y Subestaciones Asociadas</t>
  </si>
  <si>
    <t>26.05.16</t>
  </si>
  <si>
    <t>Concesiones Únicas para la Prestación de Servicios Públicos de Telecomunicaciones y Asignación de Tres Bloques de la Banda 698-806 MHz a nivel nacional</t>
  </si>
  <si>
    <t>19.05.17</t>
  </si>
  <si>
    <t>Línea de Transmisión Aguaytía-Pucallpa (Segundo Circuito)</t>
  </si>
  <si>
    <t>06.07.17</t>
  </si>
  <si>
    <t>Hidrovía Amazónica (Segunda Convocatoria)</t>
  </si>
  <si>
    <t>30.10.17</t>
  </si>
  <si>
    <t>Enlace 500 kV Mantaro-Nueva Yanango-Carapongo y Subestaciones Asociadas y Enlace 500 kV Nueva Yanango-Nueva Huanuco y Subestaciones Asociadas</t>
  </si>
  <si>
    <t>30.11.17</t>
  </si>
  <si>
    <t>Línea de Transmisión 220 kV Tintaya - Azángaro</t>
  </si>
  <si>
    <t>18.12.17</t>
  </si>
  <si>
    <t>Licitación Pública de los Proyectos “Instalación de Banda Ancha para la Conectividad Integral y Desarrollo Social de las Regiones: Amazonas, Ica y Lima”</t>
  </si>
  <si>
    <t>(c22)</t>
  </si>
  <si>
    <t>Licitación Pública de los Proyectos “Instalación de Banda Ancha para la Conectividad Integral y Desarrollo Social de la Regiones: Junín, Puno, Moquegua y Tacna"</t>
  </si>
  <si>
    <t>(c23)</t>
  </si>
  <si>
    <t>20.02.18</t>
  </si>
  <si>
    <t>Yacimientos Cupríferos de Michiquillay</t>
  </si>
  <si>
    <t>31.05.18</t>
  </si>
  <si>
    <t>Modernización y Desarrollo del Terminal Portuario Mutipropósito de Salaverry</t>
  </si>
  <si>
    <t>29.04.19</t>
  </si>
  <si>
    <t>Sistema de tratamiento de las aguas residuales de la cuenca del Lago Titicaca</t>
  </si>
  <si>
    <t>(c24)</t>
  </si>
  <si>
    <t>30.10.19</t>
  </si>
  <si>
    <t>“Enlace 500 kV La Niña - Piura, Subestaciones, Líneas y Ampliaciones Asociadas”; “Enlace 220 kV Pariñas - Nueva Tumbes, Subestaciones y Ampliaciones Asociadas”; y, “Enlace 220 kV Tingo María - Aguaytía, Subestaciones, Líneas y Ampliaciones Asociadas”</t>
  </si>
  <si>
    <t>(c25)</t>
  </si>
  <si>
    <t>10.12.20</t>
  </si>
  <si>
    <t>“Subestación Chincha Nueva de 220/60 kV” y “Subestación Nazca Nueva de 220/60 kV”</t>
  </si>
  <si>
    <t>(c26)</t>
  </si>
  <si>
    <t>30.04.21</t>
  </si>
  <si>
    <t>“Línea de Transmisión 138 kV Puerto Maldonado - Iberia” y “Subestación Valle del Chira de 220/60/22.9 kV”</t>
  </si>
  <si>
    <t>(c27)</t>
  </si>
  <si>
    <t>15.07.22</t>
  </si>
  <si>
    <t>“Enlace 220 kV Reque – Nueva Carhuaquero, subestaciones, líneas y ampliaciones asociadas” y “SE Nueva Tumbes 220/60 kV – 75 MVA y LT 60 kV Nueva Tumbes – Tumbes”</t>
  </si>
  <si>
    <t>(c28)</t>
  </si>
  <si>
    <t>31.01.23</t>
  </si>
  <si>
    <t>"Enlace 220 kV Ica – Poroma, ampliaciones y subestaciones asociadas" y "ITC Enlace 220 kV Caclic – Jaen Norte (2 circuitos), ampliaciones y subestaciones asociadas"</t>
  </si>
  <si>
    <t>(c29)</t>
  </si>
  <si>
    <t>28.06.23</t>
  </si>
  <si>
    <t>“Creación de los servicios especializados de salud del Hospital Especializado en la Red Asistencial Piura de ESSALUD, distrito de Veintiséis de Octubre, provincia de Piura, departamento de Piura” y “Creación de servicios especializados de salud del Hospital Especializado Chimbote en la Red Asistencial Ancash de ESSALUD, distrito de Nuevo Chimbote, provincia del Santa, departamento de Ancash”</t>
  </si>
  <si>
    <t>Salud</t>
  </si>
  <si>
    <t>(c30)</t>
  </si>
  <si>
    <t xml:space="preserve">TOTAL CONCESIONES (B1 + B2)   </t>
  </si>
  <si>
    <t>C. OPCION DE TRANSFERENCIA</t>
  </si>
  <si>
    <t xml:space="preserve">C.1.  VIGENTES   </t>
  </si>
  <si>
    <t>04.08.08</t>
  </si>
  <si>
    <r>
      <t xml:space="preserve">Proyecto Bayóvar (Salmueras) </t>
    </r>
    <r>
      <rPr>
        <vertAlign val="superscript"/>
        <sz val="9"/>
        <color indexed="8"/>
        <rFont val="Arial"/>
        <family val="2"/>
      </rPr>
      <t>b7</t>
    </r>
  </si>
  <si>
    <t>15.04.11</t>
  </si>
  <si>
    <t>Proyecto Minero Magistral (Empresa Activos Mineros S.A.)</t>
  </si>
  <si>
    <t xml:space="preserve">TOTAL OPCION DE TRANSFERENCIA - VIGENTES     </t>
  </si>
  <si>
    <t>gracia</t>
  </si>
  <si>
    <t xml:space="preserve">C.2.  NO EJERCIDAS </t>
  </si>
  <si>
    <t>25.01.94</t>
  </si>
  <si>
    <r>
      <t xml:space="preserve">Minero Perú - Cañariaco/Jehuamarca </t>
    </r>
    <r>
      <rPr>
        <vertAlign val="superscript"/>
        <sz val="9"/>
        <color indexed="8"/>
        <rFont val="Arial"/>
        <family val="2"/>
      </rPr>
      <t xml:space="preserve">  b1</t>
    </r>
  </si>
  <si>
    <t>22.07.94</t>
  </si>
  <si>
    <r>
      <t xml:space="preserve">Minero Perú - Huatalán/Colpar/ Pallacochas  </t>
    </r>
    <r>
      <rPr>
        <vertAlign val="superscript"/>
        <sz val="9"/>
        <color indexed="8"/>
        <rFont val="Arial"/>
        <family val="2"/>
      </rPr>
      <t>b1</t>
    </r>
  </si>
  <si>
    <t>21.07.95</t>
  </si>
  <si>
    <r>
      <t xml:space="preserve">Minero Perú - Mishki </t>
    </r>
    <r>
      <rPr>
        <vertAlign val="superscript"/>
        <sz val="9"/>
        <color indexed="8"/>
        <rFont val="Arial"/>
        <family val="2"/>
      </rPr>
      <t xml:space="preserve"> b1</t>
    </r>
  </si>
  <si>
    <t>22.08.95</t>
  </si>
  <si>
    <r>
      <t xml:space="preserve">Complejo Agroindustrial CHAO  </t>
    </r>
    <r>
      <rPr>
        <vertAlign val="superscript"/>
        <sz val="9"/>
        <color indexed="8"/>
        <rFont val="Arial"/>
        <family val="2"/>
      </rPr>
      <t>b4</t>
    </r>
  </si>
  <si>
    <t>25.08.95</t>
  </si>
  <si>
    <r>
      <t xml:space="preserve">Minero Perú - San Antonio de Poto   </t>
    </r>
    <r>
      <rPr>
        <vertAlign val="superscript"/>
        <sz val="9"/>
        <color indexed="8"/>
        <rFont val="Arial"/>
        <family val="2"/>
      </rPr>
      <t>b1</t>
    </r>
  </si>
  <si>
    <t>19.07.96</t>
  </si>
  <si>
    <r>
      <t xml:space="preserve">Centromín - Prospecto Minero Quicay </t>
    </r>
    <r>
      <rPr>
        <vertAlign val="superscript"/>
        <sz val="9"/>
        <color indexed="8"/>
        <rFont val="Arial"/>
        <family val="2"/>
      </rPr>
      <t>b1</t>
    </r>
  </si>
  <si>
    <t>17.10.97</t>
  </si>
  <si>
    <r>
      <t xml:space="preserve">Centromín - Unidad Minera Yauricocha </t>
    </r>
    <r>
      <rPr>
        <vertAlign val="superscript"/>
        <sz val="9"/>
        <color indexed="8"/>
        <rFont val="Arial"/>
        <family val="2"/>
      </rPr>
      <t>b1</t>
    </r>
  </si>
  <si>
    <t>04.03.98</t>
  </si>
  <si>
    <r>
      <t>Centromín - Prospecto Aurífero Jaqui</t>
    </r>
    <r>
      <rPr>
        <vertAlign val="superscript"/>
        <sz val="9"/>
        <color indexed="8"/>
        <rFont val="Arial"/>
        <family val="2"/>
      </rPr>
      <t xml:space="preserve"> b1</t>
    </r>
  </si>
  <si>
    <r>
      <t>Centromín - Prospecto Aurífero Jarahuali</t>
    </r>
    <r>
      <rPr>
        <vertAlign val="superscript"/>
        <sz val="9"/>
        <color indexed="8"/>
        <rFont val="Arial"/>
        <family val="2"/>
      </rPr>
      <t xml:space="preserve"> b1</t>
    </r>
  </si>
  <si>
    <r>
      <t>Centromín - Prospecto Aurífero Huarangayoc/Pira</t>
    </r>
    <r>
      <rPr>
        <vertAlign val="superscript"/>
        <sz val="9"/>
        <color indexed="8"/>
        <rFont val="Arial"/>
        <family val="2"/>
      </rPr>
      <t xml:space="preserve">  b1</t>
    </r>
  </si>
  <si>
    <r>
      <t>Centromín - Prospecto Aurífero Ingenio</t>
    </r>
    <r>
      <rPr>
        <vertAlign val="superscript"/>
        <sz val="9"/>
        <color indexed="8"/>
        <rFont val="Arial"/>
        <family val="2"/>
      </rPr>
      <t xml:space="preserve"> b1</t>
    </r>
  </si>
  <si>
    <t>28.04.98</t>
  </si>
  <si>
    <r>
      <t xml:space="preserve">Centromín - Prospecto Polimetálico Puquio </t>
    </r>
    <r>
      <rPr>
        <vertAlign val="superscript"/>
        <sz val="9"/>
        <color indexed="8"/>
        <rFont val="Arial"/>
        <family val="2"/>
      </rPr>
      <t>b1</t>
    </r>
  </si>
  <si>
    <r>
      <t xml:space="preserve">Centromín - Prospecto Polimetálico Yauyurco/Casca </t>
    </r>
    <r>
      <rPr>
        <vertAlign val="superscript"/>
        <sz val="9"/>
        <color indexed="8"/>
        <rFont val="Arial"/>
        <family val="2"/>
      </rPr>
      <t xml:space="preserve"> b1</t>
    </r>
  </si>
  <si>
    <t>04.12.98</t>
  </si>
  <si>
    <r>
      <t xml:space="preserve">Minero Perú - Prospecto Cañariaco  </t>
    </r>
    <r>
      <rPr>
        <vertAlign val="superscript"/>
        <sz val="9"/>
        <color indexed="8"/>
        <rFont val="Arial"/>
        <family val="2"/>
      </rPr>
      <t>b1</t>
    </r>
  </si>
  <si>
    <r>
      <t xml:space="preserve">Centromín - Prospecto Polimetálico Las Orquideas </t>
    </r>
    <r>
      <rPr>
        <vertAlign val="superscript"/>
        <sz val="9"/>
        <color indexed="8"/>
        <rFont val="Arial"/>
        <family val="2"/>
      </rPr>
      <t>b1</t>
    </r>
  </si>
  <si>
    <t>21.05.99</t>
  </si>
  <si>
    <r>
      <t xml:space="preserve">Minero Perú - Prospecto Pallacocha  </t>
    </r>
    <r>
      <rPr>
        <vertAlign val="superscript"/>
        <sz val="9"/>
        <color indexed="8"/>
        <rFont val="Arial"/>
        <family val="2"/>
      </rPr>
      <t>b1</t>
    </r>
  </si>
  <si>
    <t>31.08.99</t>
  </si>
  <si>
    <r>
      <t xml:space="preserve">Minero Perú - Prospecto Hualatán </t>
    </r>
    <r>
      <rPr>
        <vertAlign val="superscript"/>
        <sz val="9"/>
        <color indexed="8"/>
        <rFont val="Arial"/>
        <family val="2"/>
      </rPr>
      <t>b1</t>
    </r>
  </si>
  <si>
    <t>94-97-Nov'00</t>
  </si>
  <si>
    <r>
      <t xml:space="preserve">Minero Perú - La Granja  </t>
    </r>
    <r>
      <rPr>
        <vertAlign val="superscript"/>
        <sz val="9"/>
        <color indexed="8"/>
        <rFont val="Arial"/>
        <family val="2"/>
      </rPr>
      <t xml:space="preserve">b5   </t>
    </r>
  </si>
  <si>
    <t>18.08.99</t>
  </si>
  <si>
    <r>
      <t xml:space="preserve">Minero Perú - Prospecto Jehuamarca  </t>
    </r>
    <r>
      <rPr>
        <vertAlign val="superscript"/>
        <sz val="9"/>
        <color indexed="8"/>
        <rFont val="Arial"/>
        <family val="2"/>
      </rPr>
      <t>b1</t>
    </r>
  </si>
  <si>
    <r>
      <t xml:space="preserve">Minero Perú - Prospecto Mishki Tinoray </t>
    </r>
    <r>
      <rPr>
        <vertAlign val="superscript"/>
        <sz val="9"/>
        <color indexed="8"/>
        <rFont val="Arial"/>
        <family val="2"/>
      </rPr>
      <t>b1</t>
    </r>
  </si>
  <si>
    <t>07.06.01</t>
  </si>
  <si>
    <r>
      <t xml:space="preserve">Fábrica de Tubos de Vitro Resina  </t>
    </r>
    <r>
      <rPr>
        <vertAlign val="superscript"/>
        <sz val="9"/>
        <color indexed="8"/>
        <rFont val="Arial"/>
        <family val="2"/>
      </rPr>
      <t xml:space="preserve"> b2</t>
    </r>
  </si>
  <si>
    <t xml:space="preserve">TOTAL OPCION DE TRANSFERENCIA - NO EJERCIDAS  </t>
  </si>
  <si>
    <t xml:space="preserve">D. CAPITALIZACIONES      </t>
  </si>
  <si>
    <r>
      <t>CPT - Capital adicional</t>
    </r>
    <r>
      <rPr>
        <sz val="5"/>
        <color indexed="8"/>
        <rFont val="Arial"/>
        <family val="2"/>
      </rPr>
      <t xml:space="preserve"> </t>
    </r>
    <r>
      <rPr>
        <vertAlign val="superscript"/>
        <sz val="9"/>
        <color indexed="8"/>
        <rFont val="Arial"/>
        <family val="2"/>
      </rPr>
      <t>d1</t>
    </r>
  </si>
  <si>
    <t>12.12.95</t>
  </si>
  <si>
    <r>
      <t xml:space="preserve">Etevensa  </t>
    </r>
    <r>
      <rPr>
        <vertAlign val="superscript"/>
        <sz val="9"/>
        <color indexed="8"/>
        <rFont val="Arial"/>
        <family val="2"/>
      </rPr>
      <t>d2</t>
    </r>
  </si>
  <si>
    <r>
      <t xml:space="preserve">Empresa Eléctrica de Piura - EEP </t>
    </r>
    <r>
      <rPr>
        <vertAlign val="superscript"/>
        <sz val="9"/>
        <color indexed="8"/>
        <rFont val="Arial"/>
        <family val="2"/>
      </rPr>
      <t>d3</t>
    </r>
  </si>
  <si>
    <r>
      <t xml:space="preserve">Empresa Metalúrgica de la Oroya S.A. </t>
    </r>
    <r>
      <rPr>
        <vertAlign val="superscript"/>
        <sz val="9"/>
        <color indexed="8"/>
        <rFont val="Arial"/>
        <family val="2"/>
      </rPr>
      <t>d4</t>
    </r>
  </si>
  <si>
    <t>TOTAL CAPITALIZACIONES</t>
  </si>
  <si>
    <t xml:space="preserve">E. INICIATIVAS PRIVADAS </t>
  </si>
  <si>
    <t>22.01.08</t>
  </si>
  <si>
    <t>Adquisición de 1,234.4353 hectáreas de Tierras Eriazas del Proyecto Especial Jequetepeque – Zaña</t>
  </si>
  <si>
    <t>19.02.08</t>
  </si>
  <si>
    <t>Poliducto Pisco Lurin</t>
  </si>
  <si>
    <t>18.02.09</t>
  </si>
  <si>
    <t>Instalación de 100 has de uva de mesa, 30 has de espárragos y 5 has de algarrobos</t>
  </si>
  <si>
    <t>13.05.09</t>
  </si>
  <si>
    <t>Desarrollo Agroexportador en tierras eriazas de Supe</t>
  </si>
  <si>
    <t>09.12.09</t>
  </si>
  <si>
    <t xml:space="preserve">Mega Proyecto de Techo Propio, Mi Hogar y Mivivienda "Ciudad Sol de Collique" </t>
  </si>
  <si>
    <t>20.01.10</t>
  </si>
  <si>
    <t>Los Portales de Breña (Consorcio Mantenimiento y Operaciones del Perú).</t>
  </si>
  <si>
    <t>05.08.10</t>
  </si>
  <si>
    <t>Terminal de Embarque de Concentrado de Minerales del TP Callao</t>
  </si>
  <si>
    <t>19.01.16</t>
  </si>
  <si>
    <r>
      <t xml:space="preserve">Vigilancia Electrónica Personal (Grilletes Electrónicos) </t>
    </r>
    <r>
      <rPr>
        <vertAlign val="superscript"/>
        <sz val="9"/>
        <color indexed="8"/>
        <rFont val="Arial"/>
        <family val="2"/>
      </rPr>
      <t>a30</t>
    </r>
  </si>
  <si>
    <t>Penitenciarios</t>
  </si>
  <si>
    <t>22.03.16</t>
  </si>
  <si>
    <t>Central Hidroeléctrica San Gabán III</t>
  </si>
  <si>
    <t>07.03.22</t>
  </si>
  <si>
    <t>Aporte de infraestructura y servicios complementarios a la gestión educativa para nuevos Colegios de Alto Rendimiento en las regiones Pasco, Huancavelica y Cusco</t>
  </si>
  <si>
    <t>Educación</t>
  </si>
  <si>
    <t>F. PROYECTOS FITEL</t>
  </si>
  <si>
    <t>26.07.07</t>
  </si>
  <si>
    <r>
      <t xml:space="preserve">Servicio de Banda Ancha Rural (Proyectos Centro, Centro Norte y Nor Oriente) </t>
    </r>
    <r>
      <rPr>
        <vertAlign val="superscript"/>
        <sz val="9"/>
        <color indexed="8"/>
        <rFont val="Arial"/>
        <family val="2"/>
      </rPr>
      <t>a27</t>
    </r>
  </si>
  <si>
    <t>12.08.08</t>
  </si>
  <si>
    <r>
      <t xml:space="preserve">Programa Internet Rural  </t>
    </r>
    <r>
      <rPr>
        <vertAlign val="superscript"/>
        <sz val="9"/>
        <color indexed="8"/>
        <rFont val="Arial"/>
        <family val="2"/>
      </rPr>
      <t xml:space="preserve"> a27</t>
    </r>
  </si>
  <si>
    <t>12.02.09</t>
  </si>
  <si>
    <r>
      <t xml:space="preserve">Programa Banda Ancha para localidades Aisladas – BAS </t>
    </r>
    <r>
      <rPr>
        <vertAlign val="superscript"/>
        <sz val="9"/>
        <color indexed="8"/>
        <rFont val="Arial"/>
        <family val="2"/>
      </rPr>
      <t>a27</t>
    </r>
  </si>
  <si>
    <r>
      <t xml:space="preserve">Servicio de Banda Ancha Rural San Gabán – Puerto Maldonado y Servicio de Banda Ancha Rural Juliaca - San Gabán. </t>
    </r>
    <r>
      <rPr>
        <vertAlign val="superscript"/>
        <sz val="9"/>
        <color indexed="8"/>
        <rFont val="Arial"/>
        <family val="2"/>
      </rPr>
      <t>A26 a27</t>
    </r>
  </si>
  <si>
    <t>29.10.10</t>
  </si>
  <si>
    <r>
      <t xml:space="preserve">Implementación de Servicios Integrados de 
Telecomunicaciones Buenos Aires - Canchaque </t>
    </r>
    <r>
      <rPr>
        <vertAlign val="superscript"/>
        <sz val="9"/>
        <color indexed="8"/>
        <rFont val="Arial"/>
        <family val="2"/>
      </rPr>
      <t>a27</t>
    </r>
  </si>
  <si>
    <t>28.12.10</t>
  </si>
  <si>
    <r>
      <t xml:space="preserve">Integración de las Áreas Rurales y lugares de Preferente Interés Social a la Red del Servicio Móvil - Centro Sur </t>
    </r>
    <r>
      <rPr>
        <vertAlign val="superscript"/>
        <sz val="9"/>
        <color indexed="8"/>
        <rFont val="Arial"/>
        <family val="2"/>
      </rPr>
      <t>a27</t>
    </r>
  </si>
  <si>
    <r>
      <t>Integración de las Áreas Rurales y lugares de Preferente Interés Social a la Red del Servicio Móvil - Centro Norte</t>
    </r>
    <r>
      <rPr>
        <vertAlign val="superscript"/>
        <sz val="9"/>
        <color indexed="8"/>
        <rFont val="Arial"/>
        <family val="2"/>
      </rPr>
      <t xml:space="preserve"> a27</t>
    </r>
  </si>
  <si>
    <t>29.12.10</t>
  </si>
  <si>
    <r>
      <t xml:space="preserve">Integración de las Áreas Rurales y lugares de Preferente Interés Social a la Red del Servicio Móvil - Selva </t>
    </r>
    <r>
      <rPr>
        <vertAlign val="superscript"/>
        <sz val="9"/>
        <color indexed="8"/>
        <rFont val="Arial"/>
        <family val="2"/>
      </rPr>
      <t>a27</t>
    </r>
  </si>
  <si>
    <r>
      <t xml:space="preserve">Banda Ancha para el Desarrollo del Valle de los Ríos Apurimac y Ene - VRAE y Banda Ancha para el Desarrollo de las Comunidades de Camisea (Camisea - Lurín) </t>
    </r>
    <r>
      <rPr>
        <vertAlign val="superscript"/>
        <sz val="9"/>
        <color indexed="8"/>
        <rFont val="Arial"/>
        <family val="2"/>
      </rPr>
      <t>a27</t>
    </r>
  </si>
  <si>
    <t>21.06.11</t>
  </si>
  <si>
    <r>
      <t xml:space="preserve">Tecnologías de la información y Comunicaciones para el Desarrollo Integral de las Comunidades de Candarave. </t>
    </r>
    <r>
      <rPr>
        <vertAlign val="superscript"/>
        <sz val="9"/>
        <color indexed="8"/>
        <rFont val="Arial"/>
        <family val="2"/>
      </rPr>
      <t>a27</t>
    </r>
  </si>
  <si>
    <r>
      <t xml:space="preserve">Integración Amazónica Loreto - San Martín a la Red Terrestre de Telecomunicaciones </t>
    </r>
    <r>
      <rPr>
        <vertAlign val="superscript"/>
        <sz val="9"/>
        <color indexed="8"/>
        <rFont val="Arial"/>
        <family val="2"/>
      </rPr>
      <t>a31</t>
    </r>
  </si>
  <si>
    <t>05.03.15</t>
  </si>
  <si>
    <t>Instalación de Banda Ancha para la Conectividad Integral y Desarrollo Social de la Región Huancavelica</t>
  </si>
  <si>
    <t>Instalación de Banda Ancha para la Conectividad Integral y Desarrollo Social de la Región Ayacucho</t>
  </si>
  <si>
    <t>Instalación de Banda Ancha para la Conectividad Integral y Desarrollo Social de la Región Apurímac</t>
  </si>
  <si>
    <t>Instalación de Banda Ancha para la Conectividad Integral y Desarrollo Social de la Zona Norte del País - Región Lambayeque</t>
  </si>
  <si>
    <t>Instalación de Banda Ancha para la Conectividad Integral y Desarrollo Social de las Regiones Tumbes, Piura, Cajamarca y Cusco</t>
  </si>
  <si>
    <t>27.12.18</t>
  </si>
  <si>
    <t>Licitación Pública Especial del Proceso de Promoción de la Inversión Privada para la Ejecución de seis (6) Proyectos “Instalación de Banda Ancha para la Conectividad Integral y Desarrollo Social de la Región Áncash”, “Instalación de Banda Ancha para la Conectividad Integral y Desarrollo Social de la Región Arequipa”, “Creación de Banda Ancha para la Conectividad Integral y Desarrollo Social de la Región Huánuco”, “Creación de Banda Ancha para la Conectividad Integral y Desarrollo Social de la Región La Libertad”, “Creación de Banda Ancha para la Conectividad Integral y Desarrollo Social de la Región Pasco”  y “Creación de Banda Ancha para la Conectividad Integral y Desarrollo Social de la Región San Martín".-</t>
  </si>
  <si>
    <t>09.06.23</t>
  </si>
  <si>
    <t>Concesión Única para la prestación de servicios públicos de telecomunicaciones y para asignar a nivel nacional los rangos de frecuencias 1 750 – 1 780 MHz y 2 150 – 2 180 MHz y 2 300 – 2 330 MHz</t>
  </si>
  <si>
    <t>TOTAL PROYECTOS FITEL</t>
  </si>
  <si>
    <t>G. OTRAS MODALIDADES</t>
  </si>
  <si>
    <t>06.02.04</t>
  </si>
  <si>
    <r>
      <t xml:space="preserve">Central Hidroeléctrica de Yuncán  </t>
    </r>
    <r>
      <rPr>
        <vertAlign val="superscript"/>
        <sz val="9"/>
        <color indexed="8"/>
        <rFont val="Arial"/>
        <family val="2"/>
      </rPr>
      <t>59</t>
    </r>
  </si>
  <si>
    <t>24.08.07</t>
  </si>
  <si>
    <t>Usufructo Proyecto Centro Civico y Comercial de Lima</t>
  </si>
  <si>
    <t>13.07.10</t>
  </si>
  <si>
    <r>
      <t xml:space="preserve">Central Hidroeléctrica Santa Teresa 90 Mw  </t>
    </r>
    <r>
      <rPr>
        <vertAlign val="superscript"/>
        <sz val="10"/>
        <rFont val="Arial"/>
        <family val="2"/>
      </rPr>
      <t>a25</t>
    </r>
  </si>
  <si>
    <t>29.11.13</t>
  </si>
  <si>
    <t>Nodo Energético en el Sur del Perú</t>
  </si>
  <si>
    <r>
      <t xml:space="preserve">Prestación de Servicios de Seguridad Tecnológica en las Prisiones </t>
    </r>
    <r>
      <rPr>
        <vertAlign val="superscript"/>
        <sz val="9"/>
        <color indexed="8"/>
        <rFont val="Arial"/>
        <family val="2"/>
      </rPr>
      <t>a28</t>
    </r>
  </si>
  <si>
    <t>25.07.14</t>
  </si>
  <si>
    <t>TOTAL OTRAS MODALIDADES</t>
  </si>
  <si>
    <t>H. PROCESOS EXCLUÍDOS</t>
  </si>
  <si>
    <t>04.03.11</t>
  </si>
  <si>
    <t>Proyecto Concesión Centro Penitenciario</t>
  </si>
  <si>
    <t>Justicia</t>
  </si>
  <si>
    <t>23.02.15</t>
  </si>
  <si>
    <t>RESUMEN :</t>
  </si>
  <si>
    <t>TOTAL TRANSACCIONES - SIN INTERVENCION PROINVERSIÓN (ANTES COPRI)</t>
  </si>
  <si>
    <t>TOTAL TRANSACCIONES - CON INTERVENCION PROINVERSIÓN (ANTES COPRI)</t>
  </si>
  <si>
    <t xml:space="preserve">TOTAL TRANSACCIONES      </t>
  </si>
  <si>
    <t>NOTAS:</t>
  </si>
  <si>
    <t xml:space="preserve">*  </t>
  </si>
  <si>
    <t>Mediante D.S. 228-2001-EF del 13/12/2001, se aprueba el Contrato de Reconocimiento de obligaciones, dación pago, transacción, extinción de derecho y obligaciones y pactos diversos, a suscribirse entre el FONAFE y JORBSA ELÉCTRICA S.A.C.</t>
  </si>
  <si>
    <t xml:space="preserve">**  </t>
  </si>
  <si>
    <t>El 17 de octubre de 2003 se realizó la Subasta Pública en el local de la Bolsa de Valores de Lima del crédito contenido en el Contrato de Compra Venta de Acciones de Electro Sur Medio por US$ 11 MM.</t>
  </si>
  <si>
    <t xml:space="preserve">***   </t>
  </si>
  <si>
    <t>El 25 de octubre de 2004 se realizó la Subasta Pública en el local de la Bolsa de Valores de Lima del Cuarto Paquete de Créditos del Programa de Transferencia de Créditos.   En la subasta se adjudicaron los créditos contenidos en los contratos de compra venta de Pesca Perú Refinería Callao S.A. y Hotel de Turistas de Tarma, por un total de US$ 412 M.</t>
  </si>
  <si>
    <t xml:space="preserve">Inversiones comprometidas.                       </t>
  </si>
  <si>
    <t xml:space="preserve">(c1) </t>
  </si>
  <si>
    <t>Entel CPT: Inversión comprometida US$ 1,200MM y no comprometida US$ 976MM. De los US$1,200MM comprometidos la empresa ha capitalizado US$ 610MM de acuerdo a condiciones de venta original (Ver Nota d1)</t>
  </si>
  <si>
    <t>Tintaya: Inver. comprometida US$ 85MM y no comp. US$ 19MM (Contrato de Estabilidad MEM)</t>
  </si>
  <si>
    <t xml:space="preserve">(c4) </t>
  </si>
  <si>
    <t>Cajamarquillla: Inver. comprometida US$ 20MM y no comp.US$ 30MM (Contrato de Estabilidad MEM)</t>
  </si>
  <si>
    <t xml:space="preserve">(c5) </t>
  </si>
  <si>
    <t>Compromiso de inversión expresado en metas físicas.   Inversión mínima US$2 MM y adicional de aprox. US$6 MM.</t>
  </si>
  <si>
    <t xml:space="preserve">(c6) </t>
  </si>
  <si>
    <t>Inversión estimada si se ejerce opción.</t>
  </si>
  <si>
    <t>Pago por derecho de Opción. (ver Nº 255)</t>
  </si>
  <si>
    <t>Inversiones realizadas durante el periodo de Opción. (ver Nº 255)</t>
  </si>
  <si>
    <t>(c9)</t>
  </si>
  <si>
    <t>Pago por transferencia del Proyecto. (ver Nº 223)</t>
  </si>
  <si>
    <t>(c10)</t>
  </si>
  <si>
    <t>Inversión estimada para la construcción del Proyecto. (ver Nº 223)</t>
  </si>
  <si>
    <t>Pago de contraprestación periódica del 2.51% de las ventas netas efectuadas desde el primer semestre de 2005 y el segundo semestre de 2010 y que seguirá haciendose en forma semestral durante la vida de la mina.</t>
  </si>
  <si>
    <t>Inversión auditada durante el periodo de opción.</t>
  </si>
  <si>
    <t>Monto estimado de la inversión total que deberán efectuar las empresas adjudicatarias de la buena Pro Consorcio Generación Pucará (Ofertas 1 y 2), Empresa de Generación Huallaga S.A. y Cero del Aguila S.A. en la construcción de tres (3) nuevas centrales hidroeléctricas de una potencia nominal total ascendente a 911.8 MW considerando un ratio de US$2,000 la inversión por KW instalado, a fin de suministrar la Potencia Ofrecida: 5 MW, 55 MW, 284 MW y 200 MW, respectivamente. Las nuevas centrales hidroeléctricas en referencia y su respectiva potencia nominal se citan a continuación: C.H. Pucará 149.8 MW, C.H. Chaglia 360 MW y C.H. Cerro del Aguila 402 MW.</t>
  </si>
  <si>
    <t>Monto a valores corrientes.</t>
  </si>
  <si>
    <t xml:space="preserve">El monto de inversión proyectada corresponde al subsidio del Estado solicitado por la empresa adjudicataria. </t>
  </si>
  <si>
    <t>Monto equivalente a la provisión de acceso a internet gratuito a 4,025 escuelas del Ministerio de Educación durante 10 años.</t>
  </si>
  <si>
    <t>El monto incluye:
Provisión de acceso gratuito a internet de banda ancha en 718 instituciones beneficiarias (colegios, postas de salud y municipios).
Costo de limpieza de la banda.</t>
  </si>
  <si>
    <t>El monto de inversión estimado corrresponde a inversión obligatoria.
Adicionalmente existe monto de inversión adicional gatillada (US$ 673.53 millones sin IGV) comprende la adquisición de material rodante cuando en hora punta se alcancen las capacidades de carga máxima definidas en el contrato de concesión correspondientes a la Tercera Etapa del Proyecto.</t>
  </si>
  <si>
    <t>El monto de inversión estimado corrresponde a inversión obligatoria.
Adicionalmente existe monto de inversión adicional gatillada (US$ 119.91 millones sin IGV) comprende la implementación de infraestructura y equipamiento durante dos fases adicionales de la etapa de operación según volumen de pasajeros anuales atendidos, estas son: i) Fase 1: que incrementa la capacidad del aeropuerto para atender una demanda de 5 millones de pasajeros anuales; ii) Fase 2: que incrementa la capacidad del aeropuerto para atender una demanda de 5.7 millones de pasajeros anuales.</t>
  </si>
  <si>
    <t>El monto de inversión estimado corrresponde a inversión obligatoria.
Adicionalmente existe monto de inversión adicional gatillada (US$ 53.60 millones sin IGV)) comprende la ejecución de obras durante el periodo de operación en tres etapas adicionales (Etapas 2, 3 y 4) en función a la carga manejada. Se ejecuta la Etapa 2 cuando la carga alcanza los 2.5 millones TM/año; la Etapa 3 cuando se alcanza los 60 mil TEUs/año; y, la Etapa 4 cuando se alcanza los 225 mil TM/año de granos limpios.</t>
  </si>
  <si>
    <t>Por operación y mantenimiento: US$ 15 millones.</t>
  </si>
  <si>
    <t xml:space="preserve">Corresponde al Monto Referencial de Inversión definido en el Contrato de Concesión. Al tipo de cambio bancario del 10.04.19 T.C.= 3.303 </t>
  </si>
  <si>
    <t>Costo de Inversión:
- Enlace 500 kV La Niña - Piura, Subestaciones, Líneas y Ampliaciones Asociadas: US$ 58´534,456.55
- Enlace 220 kV Pariñas - Nueva Tumbes, Subestaciones y Ampliaciones Asociadas: US$ 19´376,969.65
- Enlace 220 kV Tingo María - Aguaytía, Subestaciones, Líneas y Ampliaciones Asociadas: US$ 12´841,557.14</t>
  </si>
  <si>
    <t>Costo de Inversión:
- Subestación Chincha Nueva de 220/60 kV: US$ 11´030,302.00
- Subestación Nazca Nueva de 220/60 kV: US$ 7´308,806.00</t>
  </si>
  <si>
    <t>Costo de Inversión:
- Línea de Transmisión 138 kV Puerto Maldonado - Iberia: US$ 15´276,449.17
- Subestación Valle del Chira de 220/60/22.9 kV: US$ 13´545,377.00</t>
  </si>
  <si>
    <t>Costo de Inversión:
- Enlace 220 kV Reque – Nueva Carhuaquero, subestaciones, líneas y ampliaciones asociadas: US$ 9´511,863.42
- SE Nueva Tumbes 220/60 kV – 75 MVA y LT 60 kV Nueva Tumbes – Tumbes: US$ 8´436,426.00</t>
  </si>
  <si>
    <t>Costo de Inversión:
- Enlace 220 kV Ica – Poroma, ampliaciones y subestaciones asociadas: US$ 44´020,232.57
- ITC Enlace 220 kV Caclic – Jaen Norte (2 circuitos), ampliaciones y subestaciones asociadas: US$ 29´121,942.72</t>
  </si>
  <si>
    <t>Inversión estimada:
- Creación de los servicios especializados de salud del Hospital Especializado en la Red Asistencial Piura de ESSALUD, distrito de Veintiséis de Octubre, provincia de Piura, departamento de Piura: US$ 180´,000,000.00
- Creación de servicios especializados de salud del Hospital Especializado Chimbote en la Red Asistencial Ancash de ESSALUD, distrito de Nuevo Chimbote, provincia del Santa, departamento de Ancash: US$ 140´000,000.00</t>
  </si>
  <si>
    <t>Leasing a 20 años (US$ 10MM anuales).  Petroperú recibirá en promedio el 21.13% del petróleo y gas producido durante la concesión (30 años).</t>
  </si>
  <si>
    <t>Monto total luego del ajuste de precio debido a la auditoría de cierre.</t>
  </si>
  <si>
    <t>El monto de venta incluye US$ 55MM de valor nominal de títulos de deuda externa.   Incluye el ajuste de precio a favor de Minero Perú por la auditoría de cierre.  También incluye honorario por éxito pagado en exceso.  Acta de acuerdo final suscrito por el Banco de Inversión, Banque Paribas.</t>
  </si>
  <si>
    <t>En febrero de 1999 se pagó por adelantado el íntegro del saldo de capital para cuya amortización podría haber utilizado 20 semestres más, los que culminaban en febrero del año 2009.</t>
  </si>
  <si>
    <t>El monto de transacción registrado incluye US$40.2 MM pagados al contado a la firma del contrato, US$73.6 MM pagados por concepto de la parte diferida, US$40MM de valor nominal de títulos de deuda externa, US$0.8 MM por venta a trabajadores.</t>
  </si>
  <si>
    <t>Venta mediante el programa de Participación Ciudadana: 1ra. campaña  en Nov. 94,  2da. campaña en Dic.94 y 3ra. campaña en Jun 95.</t>
  </si>
  <si>
    <t>Se vendieron 19.0001% de las acciones mediante subasta holandesa y 10% de las mismas a los accionistas mayoritarios en uso de su derecho de preferencia.</t>
  </si>
  <si>
    <t>Incluye venta a Química del Pacífica por US$ 13.95 MM a ser pagado en 5 años con uno de gracia (30% de inicial y cuotas semestrales calculadas a Libor + 2%) y venta a trabajadores por S/. 867 M;    quedando un saldo de 147,875 acc. en reserva.</t>
  </si>
  <si>
    <t>En. 95: se vendieron 17 hoteles, en Mar.95 otros 14 hoteles.</t>
  </si>
  <si>
    <t>La mayoría de ellos serán pagados en cinco años, incluye un año de gracia: 30% de cuota inicial y cuotas semestrales a una tasa de Libor + 2%.  Los compromisos de inversión se llevarán a cabo en los siguientes 3 años.</t>
  </si>
  <si>
    <t>En Jun 95 se vendieron 2  paradores turísticos al contado.</t>
  </si>
  <si>
    <t>Venta en soles.  37.11% de las acciones adquiridas serán financiadas mediante pagos mensuales durante cinco años, con una tasa de 10% en soles.</t>
  </si>
  <si>
    <t>Venta de 4 unidades operativas: (i) Terminal Pesquero del Callao, (ii) Frigorífico de Huaraz, (iii) Mercado Mayorista y Frigorífico de Villa María, y (iv) Mercado Mayorista de Santa Rosa.  Las 3 primeras unidades han sido vendidas mediante Promoción Empresarial.</t>
  </si>
  <si>
    <t xml:space="preserve"> Venta mediante Promoción Empresarial:40% de cuota inicial, saldo en 5.5 años con 6 meses de gracia, Libor+2%.Inversión en 3 años.</t>
  </si>
  <si>
    <t xml:space="preserve"> Incluye US$ 55M por terrenos transferidos a Fondepes.</t>
  </si>
  <si>
    <t>Incluye US$ 60MM en títulos de deuda externa, US$ 32MM x saldo de acciones.  Incluye emp. filiales Financiera San Pedro, Contidata y Almaconti.</t>
  </si>
  <si>
    <t>Venta mediante Promoción Empresarial: 20% de cuota inicial y el saldo pagadero en cuotas semestrales durante 8 años, incluyendo 6 meses de gracia, a Libor + 2%.</t>
  </si>
  <si>
    <t>Venta mediante Promoción Empresarial: 30% de cuota inicial y el saldo pagadero en cuotas semestrales durante 5 años y medio incluyendo 6 meses de gracia a Libor + 2%</t>
  </si>
  <si>
    <t>Venta con intervención de Participación Ciudadana.</t>
  </si>
  <si>
    <t>Involucra venta del 60% de participación estatal, el 40% restante será vendido posteriormente en el mercado nacional (Partic.Ciudadana) e Internacional (Oferta Pública).</t>
  </si>
  <si>
    <t>Venta del 100% de acciones, bajo el Programa de Promoción Empresarial, 40% de cuota inicial y el saldo en cuotas semestrales en 5 años, a una tasa Libor +2%.</t>
  </si>
  <si>
    <t>Sujetos al Programa de Promoción Empresarial.</t>
  </si>
  <si>
    <t>Involucra la venta del 60% de acciones del Estado, el 40% restante será ofrecido a través del mecanismo de Partic.Ciudadana.</t>
  </si>
  <si>
    <r>
      <t xml:space="preserve">Incluye:  al Contado  </t>
    </r>
    <r>
      <rPr>
        <sz val="8"/>
        <rFont val="Arial"/>
        <family val="2"/>
      </rPr>
      <t>US$ 20.2 MM, Diferido  US$140.9 MM y Papeles de deuda US$25.1MM</t>
    </r>
  </si>
  <si>
    <t>Incluye : al contadoUS$ 1.0MM, Diferido US$ 1.6MM.</t>
  </si>
  <si>
    <t>Venta del 60% de acciones. De los US$180.5MM ofrecidos, US$142.5 pago en efectivo y  US$38MM de papeles de deuda.</t>
  </si>
  <si>
    <t>Compromisos de inversión de por lo menos US$50.0MM en los próximos 5 años.</t>
  </si>
  <si>
    <t>Venta del 60% de acciones. Compromiso de inversión: instalar una planta de 100 MW en el plazo de 3 años.</t>
  </si>
  <si>
    <t>Venta del 100% de acciones.</t>
  </si>
  <si>
    <t xml:space="preserve"> Internacional 447´925,000 acc.a US$ 2.02 c/a. Institucional Local 19´930,095 acc.a S/5.02 c/a. Minorista Local 151´464,305 acc.a S/4.51c/a.</t>
  </si>
  <si>
    <t>Transferencia de derechos mineros por US$20MM y una inversión comprometida de US$2,520 MM.</t>
  </si>
  <si>
    <t>Venta mediante Promoción Empresarial: 40% al contado, el saldo en cuotas trimestrales en 3.5 años, interés Libor+2%.</t>
  </si>
  <si>
    <t>Luz del Sur : 1,171 trabajadores, 52,953,791 acciones. Edegel : 648 trabajadores, 61,129,728 acciones.</t>
  </si>
  <si>
    <t xml:space="preserve">Venta del 100% de acciones. </t>
  </si>
  <si>
    <t>Venta mediante Promoción Empresarial: 20% al contado, el saldo en 8 años.  Incluye también venta de inventarios por US$ 137.69 M</t>
  </si>
  <si>
    <t>Etevensa:  8,255,880 acciones,  Cahua:  9,479,358 acciones,    Egenor:  68,384,484 acciones.</t>
  </si>
  <si>
    <t xml:space="preserve">Venta mediante Promoción Empresarial: 30% al contado, el saldo en cuotas trimestrales en 4 años, interés libor + 2%. </t>
  </si>
  <si>
    <t xml:space="preserve">Monto luego del ajuste de precio por la auditoría de cierre. </t>
  </si>
  <si>
    <t>Transferencia de los derechos mineros de Perro Ciego y La Carcajada por S$ 1.05 MM.</t>
  </si>
  <si>
    <t>Internacional 19,999,995 acc. a US$ 1.20 c/a.  Institucional Local 34,906,433 acc. a S/. 3.10.  Minorista Local 89,037,459 acciones a S/. 2.79 c/a (a plazos) y S/. 2.94 c/a (al contado).</t>
  </si>
  <si>
    <t>Venta mediante Promoción Empresarial: 20% al contado, el saldo en 8 años, interés tasa Libor + 2%.   Compromiso de Inversión en 5 años.</t>
  </si>
  <si>
    <t xml:space="preserve">Venta mediante Promoción Empresarial: 20% al contado, el saldo en 4 años, interés tasa Libor + 2%. </t>
  </si>
  <si>
    <t xml:space="preserve">Venta mediante Promoción Empresarial: 25% al contado, el saldo en 6 años, interés tasa Libor + 2%.  </t>
  </si>
  <si>
    <t>Venta mediante Promoción Empresarial: 20% al contado, el saldo en 8 años, interés tasa Libor + 2%.</t>
  </si>
  <si>
    <t>Venta mediante Promoción Empresarial: 50% al contado, el saldo en 4 años, interés tasa Libor + 2%.</t>
  </si>
  <si>
    <t>Se ejerció la opción de transferencia.   El importe de transacción incluye el pago por el periodo de opción.</t>
  </si>
  <si>
    <t>Pago por 3 años del derecho de vigencia.   Inversión comprometida de US$ 25MM.    Ejercieron afirmativamente la opción de compra debiendo pagar regalías al Estado.</t>
  </si>
  <si>
    <t>Venta del 100% de acciones por US$ 127.78 MM.  Compromiso de inversión de US$ 60 MM en 5 años.</t>
  </si>
  <si>
    <t>Venta de 56 lotes, 22 de los cuales se acogieron al Programa de Promoción Empresarial.  La realización de los compromisos de inversión fluctúa entre los dos y tres años.</t>
  </si>
  <si>
    <t xml:space="preserve"> Internacional 29'344,119 acc.a US$ 0.585 c/a. Institucional Local 29'344,119 acc.a S/1.70 c/a. Minorista Local 58'688,237 acc.a S/1.615 c/a.</t>
  </si>
  <si>
    <t>Corresponde a la venta de los activos del Complejo Agroindustrial de Chao por US$2.92 MM (sin IGV) conformado por la planta industrial y el área agrícola de 1,446 hectáreas netas.</t>
  </si>
  <si>
    <t>Corresponde a la venta del 30% de acciones.</t>
  </si>
  <si>
    <t>Primer Tramo: 150'000,000 acciones (equivalentes aprox. al 7% del capital social)  por S/. 103.5 MM.</t>
  </si>
  <si>
    <t>Segundo Tramo: 120'000,000 acciones (equivalentes a 5.39% del capital social)  por S/. 84.0 MM.</t>
  </si>
  <si>
    <t>Tercer Tramo: 389'168,526 acciones (equivalentes a 17.48% del capital social)  por S/. 291.88 MM.</t>
  </si>
  <si>
    <t>Corresponde al pago por la transferencia del 100% de acciones.   Adicionalmente, se efectuará el pago de US$221.5 M trimestrales como contraprestación por el derecho de usufructo y superficie por un período de 30 años sobre el terreno, edificaciones e instalaciones fijas del Almacén.</t>
  </si>
  <si>
    <t xml:space="preserve">Corresponde al pago por la transferencia del 100% de acciones.   Adicionalmente, se efectuará el pago de US$184 M trimestrales como contraprestación </t>
  </si>
  <si>
    <t>por el derecho de usufructo y superficie por un período de 30 años sobre el terreno, edificaciones e instalaciones fijas del Almacén.</t>
  </si>
  <si>
    <t>Inversión estimada para que se habilite la planta existente para el  uso del  gas natural operando en ciclo simple en una primara etapa, y posteriormente, en una segunda etapa , en ciclo combinado.</t>
  </si>
  <si>
    <t>Corresponde al 100% de las acciones de la empresa.  Adicionalmente efectuará pagos de US$ 60 M + IGV trimestral para el Fondo de Saneamiento Ambiental de Centromín Perú S.A.</t>
  </si>
  <si>
    <t>Corresponde a la oferta presentada por Derecho por Contrato ascendente a US$53 MM (sin IGV), Derecho de Usufructo de US$ 105.5 MM (sin IGV) y el Aporte Social a ser pagado de acuerdo a las siguientes condiciones:</t>
  </si>
  <si>
    <t>US$ 1.00 MM por concepto de Primer Aporte Social</t>
  </si>
  <si>
    <t>US$ 1.50 MM por concepto de Segundo Aporte Social, monto al que se le añadirá US$ 4.46 que corresponde a la diferencia entre el monto de la oferta económica por Derecho por Contrato y el valor base del Derecho por Contrato.</t>
  </si>
  <si>
    <t>US$ 15.40 MM por concepto de Aportes Periódicos.</t>
  </si>
  <si>
    <t>Los pagos por concepto del IGV ascienden a: US$ 9.05 Derecho por Contrato y US$ 18.99 MM Derecho de Usufructo.</t>
  </si>
  <si>
    <t>Se ajustó la inversión registrada toda vez que el avance registrado a esa fecha fue de aprox. 80% de la inversión total estimada en el proyecto, quedando una inversión por realizar para el 2004 y 2005 de US$ 54.94 MM.</t>
  </si>
  <si>
    <t xml:space="preserve">Adicionalmente a los US$ 3 MM, la compañía se obliga al pago del 3% de regalías sobre las ventas de cualquier tipo de mineral proveniente de la explotación del área de las concesiones mineras. </t>
  </si>
  <si>
    <t>Asimismo, por la oferta de producir roca fosfórica y ácido fosfórico equivalente a 3'420,600 toneladas métricas anuales, se estima que la obra ascendería en una primera fase de US$ 250 MM a US$300 MM, incluyendo la construcción de infraestructura, servicios, accesos, entre otros y facilidades portuarias para minería, etc.</t>
  </si>
  <si>
    <t>a1</t>
  </si>
  <si>
    <t>Concesión por 6 años.  Durante el plazo de la concesión, Corpac recibirá el 65% de los ingresos brutos.</t>
  </si>
  <si>
    <t>a2</t>
  </si>
  <si>
    <t>Concesión por 6 años.  Corpac recibirá el 30.79% de los ingresos brutos por venta durante el plazo de la concesión.</t>
  </si>
  <si>
    <t>a3</t>
  </si>
  <si>
    <t>Concesión por 30 años, montos ofrecidos pagados al contado. En el caso de San Antonio Abad se trata de una transferencia de un contrato de concesión que Entur Perú mantenía con el Arsobispado.</t>
  </si>
  <si>
    <t>a5</t>
  </si>
  <si>
    <t>Cesión de los lotes 8/8X por US$142.2MM de los cuales US$25.0MM son pagaderos en papeles de deuda.</t>
  </si>
  <si>
    <t>Compromiso de inversión de US$25.0MM en los próximos 5 años.</t>
  </si>
  <si>
    <t>a6</t>
  </si>
  <si>
    <t>Correspondientes al pago por el Derecho de Suscripción de los Contratos de Operación a 15 años, ascendentes a US$ 3 MM por cada terminal, más los ingresos esperados por concepto de tarifas.</t>
  </si>
  <si>
    <t>a7</t>
  </si>
  <si>
    <t>Concesión para el diseño, construcción, y operación de las líneas de transmisión en 220 Kv:Socabayo-Moquegua; Moquegua-Tacna y Moquegua-Puno, con una inversión de US$74.48 MM.   El plazo del Contrato de Concesión es de 32 años.</t>
  </si>
  <si>
    <t>a8</t>
  </si>
  <si>
    <t>Correspondiente al pago inicial de US$9.68 MM más los ingresos esperados por concepto del canon de 5% mensual sólo por los cinco primeros</t>
  </si>
  <si>
    <t>años (aprox. S/.800 M anuales).   Cabe señalar que el canon es por el tiempo que dure la concesión, sin embargo para fines de registro, en este reporte sólo se está considerando los cinco primeros años.</t>
  </si>
  <si>
    <t>a9</t>
  </si>
  <si>
    <t>Concesión del Sistema Ferroviario Estatal por 30 años.  Se estima que los ingresos del Estado por dicha  concesión serán de US$162 MM; asimismo, la inversión ascendería a US$157 MM.    Cabe señalar que estas cifras, que determinan un orden de magnitud consideran solamente un desarrollo conservador del mercado de transporte ferroviario, así como de las inversiones en servicios complementarios, los que podrían ser más importantes a mediano y largo plazo.</t>
  </si>
  <si>
    <t>a10</t>
  </si>
  <si>
    <t>Concesión del Proyecto Chillón por 27 años, implica una inversión aproximada de US$80 Millones en los dos primeros años.</t>
  </si>
  <si>
    <t>a11</t>
  </si>
  <si>
    <t>Concesión para la explotación de hidrocarburos de Camisea.   El consorcio ofertó 37.24% de regalías, se estima una inversión de US$1,600MM.</t>
  </si>
  <si>
    <t>a12</t>
  </si>
  <si>
    <t xml:space="preserve">Concesión del Servicio de Comunicaciones Personales (PCS) por 20 años, con un pago de US$180 MM.    </t>
  </si>
  <si>
    <t>a13</t>
  </si>
  <si>
    <t>Concesión de una banda del Servicio Telefonía Fija Local y Servicio Portador Local a la empresa Millicom, con un pago de US$9.85 MM.</t>
  </si>
  <si>
    <t>a14</t>
  </si>
  <si>
    <t>Concesión de una banda del Servicio Telefonía Fija Local y Servicio Portador Local a la empresa Telefónica del Perú, con un pago de US$9.70 MM.</t>
  </si>
  <si>
    <t>a15</t>
  </si>
  <si>
    <t>Concesión para el transporte y distribución de Camisea.  Comprende la inversión a ser realizada durante los 4 primeros años ascendente a US$1,100 MM;  asimismo, el costo de operación ascendería a US$349 MM  (Plazo de concesión:  33 años).</t>
  </si>
  <si>
    <t>a16</t>
  </si>
  <si>
    <t>El consorcio ofertó una retribución de 46.511% y una inversión de US$1,214 MM a ser realizadas durante los 30 años de la concesión.</t>
  </si>
  <si>
    <t>Se estima que el Estado percibirá ingresos de US$5,328 MM en términos corrientes durante dicho periodo.</t>
  </si>
  <si>
    <t>a17</t>
  </si>
  <si>
    <t>El consorcio se adjudicó la Buena Pro al ofrecer una retribución de 5.50% de los ingresos por peajes.</t>
  </si>
  <si>
    <t>a18</t>
  </si>
  <si>
    <t>El consorcio se adjudicó la Buena Pro al ofrecer una retribución de 35% de los ingresos por el cobro de entradas.</t>
  </si>
  <si>
    <t>a19</t>
  </si>
  <si>
    <t>Incluye venta de inventarios de repuestos, materiales y otros activos de US$17 MM.</t>
  </si>
  <si>
    <t>a20</t>
  </si>
  <si>
    <t xml:space="preserve">El Gobierno Nacional asumirá el reembolso del financiamiento por US$ 77 MM y sus intereses. </t>
  </si>
  <si>
    <t xml:space="preserve">El concesionario invertirá invertir recursos suficientes para la culminación de la obra (aproximadamente US$ 108 MM), así como para operar y mantener el sistema. </t>
  </si>
  <si>
    <t>La inversión total ascendente a US$ 184.8 MM propuesta por el concesionario, considera mayores precios de acero y cemento, costos de obras de adecuación del Oleoducto Nor Peruano, entre otros rubros, lo que que implican un incremento adicional al presupuesto original de inversiones registrado.</t>
  </si>
  <si>
    <t>a21</t>
  </si>
  <si>
    <t>El consorcio se adjudicó la Buena Pro al ofrecer una retribución de 18.61% de los ingresos por peajes.</t>
  </si>
  <si>
    <t>a22</t>
  </si>
  <si>
    <t xml:space="preserve">El consorcio se adjudicó la Buena Pro al ofrecer el menor valor presente neto de los ingresos anuales que espera recibir el concesionario para los cinco primeros años de la concesión, ascendente a S/. 31.4 MM.   </t>
  </si>
  <si>
    <t>a23</t>
  </si>
  <si>
    <t>El Consorcio se adjudicó la Buena Pro de la concesión del Muelle Sur, al ofrecer la tarifa de US$ 90 por contenedores de 20 pies y US$ 135.18 por contenedores de 40 pies.   Asimismo, realizará una inversión total de US$ 617 MM.</t>
  </si>
  <si>
    <t>a24</t>
  </si>
  <si>
    <t>Proceso Impugnado; el 17 de julio de 2007 el Comité de PROINVERSIÓN declaro la Nulidad del mismo retrotrayendo el proceso a la etapa de Precalificación.</t>
  </si>
  <si>
    <t>a25</t>
  </si>
  <si>
    <t xml:space="preserve">El monto de inversión para la construcción es de US $ 150 000 000 y la empresa Luz del Sur,  ofreció otorgar el 15% de la energía producida a la Empresa de Generación Eléctrica Machu Picchu. </t>
  </si>
  <si>
    <t>a26</t>
  </si>
  <si>
    <t xml:space="preserve">El monto de la transacción corresponde al subsidio del Estado solicitado por la empresa adjudicataria </t>
  </si>
  <si>
    <t>a27</t>
  </si>
  <si>
    <t xml:space="preserve">En estos Proyectos de Telecomunicaciones, la modalidad en la que se ejecuta el concurso es la entrega de un subsidio (financiamiento no reembolsable) a una empresa privada para la ejecución de un proyecto que es deficitario. Se establece un subsidio base y las empresas concursan por el menor subsidio.
El monto de inversión proyectada corresponde al subsidio del Estado solicitado por la empresa adjudicataria. </t>
  </si>
  <si>
    <t>a28</t>
  </si>
  <si>
    <t>Concurso derivado de una iniciativa privada.</t>
  </si>
  <si>
    <t>a29</t>
  </si>
  <si>
    <t>Mediante Resolución Suprema Nº 004-2017-EM, publicada el 15 de febrero de 2017, se declaró que la Terminación de la Concesión del Proyecto se produjo el 24 de enero de 2017 al no haber acreditado el Concesionario el cumplimiento del Cierre Financiero dentro del plazo contractual establecido, de conformidad con lo dispuesto en el numeral 6.7 de la Cláusula Sexta del Contrato de Concesión</t>
  </si>
  <si>
    <t>a30</t>
  </si>
  <si>
    <t>Mediante  Acuerdo PROINVERSIÓN Nº 745-3-2017-CPD (sesión del Consejo Directivo de fecha 07 de febrero de 2017), se acordó dejar sin efecto el Acuerdo PROINVERSIÓN Nº 712-1-2016-CPD, por el cual se aprobó la adjudicación directa del Proyecto contenido en la Iniciativa Privada “Vigilancia Electrónica Personal (Grilletes Electrónicos)”, a favor del Consorcio Global Seguridad, en atención a lo solicitado por el Ministerio de Justicia y Derechos Humanos, mediante Oficio Nº 823-2016-JUS/DM y consecuentemente, declarar concluida la tramitación de la referida iniciativa.</t>
  </si>
  <si>
    <t>a31</t>
  </si>
  <si>
    <t>Monto incluye inversión y operación y mantenimiento.</t>
  </si>
  <si>
    <t>Contrato de Gerencia, no hay monto de inversión.</t>
  </si>
  <si>
    <t>a32</t>
  </si>
  <si>
    <t>Mediante  Acuerdo PROINVERSIÓN Nº 710-5-2015-CPD, se acordó dejar sin efecto el Acuerdo PROINVERSIÓN Nº 664-2-2015-CPD, por el cual se aprobó la adjudicación directa del proyecto contenido en la Iniciativa Privada de Infraestructura Penitenciaria y Renovación Urbana "Proyecto Tinkuy Plaza", a favor del Consorcio Promotor San Jorge, por el incumplimiento de dicho Consorcio en la acreditación de los requisitos para la firma del contrato.</t>
  </si>
  <si>
    <t>b1</t>
  </si>
  <si>
    <t>Corresponde al pago por derecho de vigencia y compromiso de inversión por el periodo de permanencia en el yacimiento.</t>
  </si>
  <si>
    <t>b2</t>
  </si>
  <si>
    <t>Corresponde al pago por "derecho de llave" ascendente a US$ 30,000 más el pago de alquiler del segundo y tercer año, ascendentes a US$ 40,500 y US$ 135,000 respectivamente, de acuerdo al Contrato de Arrendamiento con Opción de Compra de los Bienes Muebles e Inmuebles que conforman la Fábrica de Tubos de Vitrorresina. Dicha opción no fue ejercida.</t>
  </si>
  <si>
    <t>b3</t>
  </si>
  <si>
    <t>El Contrato de Opción de Transferencia se firmó el 14 de mayo de 2003 y el 26 de agosto de 2004 se firmó un addendum</t>
  </si>
  <si>
    <t>De acuerdo al addendum al Contrato de Opción, se incorporporó una cláusula adicional a fin de que el inversionista, abone de manera adelantada  los pagos previstos en caso de ejercer la opción, en las siguientes nuevas condiciones:   i) US$ 1 MM destinados para el Fondo de Fideicomiso Social, el 15 de setiembre de 2004, ii) US$ 1 MM destinados al Fondo de Saneamiento Ambiental de Centromín Perú S.A. a cuenta de regalías, el 15 de setiembre de 2005.   Al haberse suscrito el Contrato de  Transferencia el 26.04.08 la inversión proyectada es de US$ 2,152´269,000 habiendo un compromiso de inversión del 70% (US$ 1,506´588,300), la regalías son el 1.7% de las Ventas Netas durante la vida útil de la Mina, pagaderos semestralmente.</t>
  </si>
  <si>
    <t>b4</t>
  </si>
  <si>
    <t>Correspondiente al pago por el primer y segundo año de la concesión.</t>
  </si>
  <si>
    <t>b5</t>
  </si>
  <si>
    <t>Corresponde al pago efectuado por Cambior Inc. por 3 años del derecho de vigencia (1994-1997).   Inversión comprometida de US$ 25MM (por Cambior Inc.) y US$3 MM (por Biliton)</t>
  </si>
  <si>
    <t>b7</t>
  </si>
  <si>
    <t xml:space="preserve"> América Petrogas de Canada pagó US$ 328,000 por derecho de opción; en caso de ejercer la opción deberá pagar US$ 250,000 como monto fijo  y un pago semestral de US$ 33 por tonelada vendida en la etapa de comercialización del proyecto.</t>
  </si>
  <si>
    <t>d1</t>
  </si>
  <si>
    <t>Monto correspondiente a la emisión de 57´988,003 acciones de CPT.  Involucra la venta de un paquete de acciones: 35% de Entel (112´605,184), acciones en CPT (46´565,525) y una nueva suscripción en CPT (57´988,003), para alcanzar el 35% del accionariado de la empresa a ser adquirida. Actualmente el Estado mantiene 2% del capital de la nueva empresa fusionada,  luego de ofrecer el 27% mediante Part.Ciudadana y/o Oferta Pública.</t>
  </si>
  <si>
    <t>d2</t>
  </si>
  <si>
    <t xml:space="preserve">Involucra la venta del 60% de acciones del Estado bajo un esquema de capitalización por inversión de US$120MM.. </t>
  </si>
  <si>
    <t>El postor ganador ofreció el mayor monto de inversión a ser capitalizada y exigió menor número de acciones por esa inversión.</t>
  </si>
  <si>
    <t>d3</t>
  </si>
  <si>
    <t>Transferencia de Electrica de Piura, bajo la modalidad de capitalización por US$ 40 MM y venta de acciones por US$ 19.67 MM.</t>
  </si>
  <si>
    <t>d4</t>
  </si>
  <si>
    <t>Transferencia de Metaloroya, bajo la modalidad de capitalización por US$ 126 MM y venta de acciones por US$ 121 MM.</t>
  </si>
  <si>
    <t>e1</t>
  </si>
  <si>
    <t>Al tipo de cambio bancario del 28.10.08. T.C.= 3.104 Fuente: BCRP</t>
  </si>
  <si>
    <t>e2</t>
  </si>
  <si>
    <t>Al tipo de cambio bancario del 23.07.10. T.C.= 2.82 Fuente: BCRP</t>
  </si>
  <si>
    <t>31.07.23</t>
  </si>
  <si>
    <t>25.08.23</t>
  </si>
  <si>
    <t>"Línea de Transmisión 500 kV Subestación Piura Nueva-Frontera" (Segunda Convocatoria)</t>
  </si>
  <si>
    <t>"Enlace 500 kV San José – Yarabamba, ampliaciones y subestaciones asociadas", "ITC Enlace 220 kV Piura Nueva – Colán, ampliaciones y subestaciones asociadas", "ITC Enlace 220 kV Belaunde Terry – Tarapoto Norte (2 circuitos), ampliaciones y subestaciones asociadas" e "ITC SE Lambayeque Norte 220 kV con seccionamiento de la LT 220 kV Chiclayo Oeste – La Niña/ Felam, ampliaciones y subestaciones asociadas", "Subestación Piura Este de 220/60/22.9 kV"</t>
  </si>
  <si>
    <t>(c31)</t>
  </si>
  <si>
    <t>Costo de Inversión:
- Grupo 1: US$ 85´966,726.34
(i) “Enlace 500 kV San José – Yarabamba, ampliaciones y subestaciones asociadas”: US$ 31´242,421.00
(ii) “ITC Enlace 220 kV Piura Nueva – Colán, ampliaciones y subestaciones asociadas”: US$ 33´382,371.34
(iii) “ITC Enlace 220 kV Belaunde Terry – Tarapoto Norte (2 circuitos), ampliaciones y subestaciones asociadas”: US$ 21´341,934.00
- Grupo 2: US$ 32´158,339.54
(i)“ITC SE Lambayeque Norte 220 kV con seccionamiento de la LT 220 kV Chiclayo Oeste – La Niña/Felam, ampliaciones y subestaciones asociadas”: US$ 22´510,837.68
(ii) “Subestación Piura Este de 220/60/22.9 kV”: US$ 9´647,501.86</t>
  </si>
  <si>
    <t>27.10.23</t>
  </si>
  <si>
    <t>"Enlace 500 kV Huánuco – Tocache – Celendín– Trujillo, ampliaciones y subestaciones asociadas" y "Enlace 500 kV Celendín – Piura, ampliaciones y subestaciones asociadas"</t>
  </si>
  <si>
    <t>(c32)</t>
  </si>
  <si>
    <t>Costo de Inversión:
- Enlace 500 kV Huánuco – Tocache – Celendín– Trujillo, ampliaciones y subestaciones asociadas: US$ 335´158,885.00
- Enlace 500 kV Celendín – Piura, ampliaciones y subestaciones asociadas: US$ 272´060,776.00</t>
  </si>
  <si>
    <t>22.03.24</t>
  </si>
  <si>
    <t>Nuevo Terminal Portuario de San Juan de Marcona</t>
  </si>
  <si>
    <t>04.04.24</t>
  </si>
  <si>
    <t>Anillo Vial Periférico</t>
  </si>
  <si>
    <t>"Nueva Subestación “Hub” Poroma (Primera Etapa) y Enlace 500 kV “Hub” Poroma - Colectora, ampliaciones y subestaciones asociadas", "Nueva Subestación “Hub” San José – Primera Etapa y Enlace 220 kV “Hub” San José – Repartición (Arequipa), ampliaciones y subestaciones asociadas (Proyecto ITC)" y "Nueva SE Marcona II y Enlace 138 kV Marcona II - San Isidro (Bella Unión) - Pampa (Chala), ampliaciones y subestaciones asociadas (Proyecto ITC)"</t>
  </si>
  <si>
    <t>(c33)</t>
  </si>
  <si>
    <t>Costo de Inversión:
- Nueva Subestación “Hub” Poroma (Primera Etapa) y Enlace 500 kV “Hub” Poroma - Colectora, ampliaciones y subestaciones asociadas: US$ 56´122,260.56
- Nueva Subestación “Hub” San José – Primera Etapa y Enlace 220 kV “Hub” San José – Repartición (Arequipa), ampliaciones y subestaciones asociadas (Proyecto ITC): US$ 50´977,760.62
- Nueva SE Marcona II y Enlace 138 kV Marcona II - San Isidro (Bella Unión) - Pampa (Chala), ampliaciones y subestaciones asociadas (Proyecto ITC): US$ 45´785,065.34</t>
  </si>
  <si>
    <t>24.06.24</t>
  </si>
  <si>
    <t>28.08.24</t>
  </si>
  <si>
    <t>29.08.24</t>
  </si>
  <si>
    <t>Ferrocarril Huancayo Huancavelica</t>
  </si>
  <si>
    <t>“L.T. 500 kV Chilca CTM-Carabayllo - Tercer Circuito (Componente 1.1.del Proyecto Vinculante Enlace 500 kV Chilca, CTM-Carabayllo, Ampliación de Transformación y Reactor Núcleo de aire SE Chilca CTM)”, “Nueva Subestación Bicentenario 500/220 kV ampliaciones y subestaciones asociadas”, “Reconfiguración Enlace 220 kV Chavarría – Santa Rosa – Carapongo, líneas, ampliaciones y subestaciones asociadas (Proyecto ITC)”, “Nueva Subestación Muyurina 220 kV, Nueva Subestación Ayacucho, LT 220 kV Muyurina-Ayacucho, Ampliaciones y Subestaciones Asociadas” y “Ampliación de Capacidad de Suministro del Sistema Eléctrico Ica (Proyecto ITC)”</t>
  </si>
  <si>
    <t>(c34)</t>
  </si>
  <si>
    <t>Transporte - Ferroviario</t>
  </si>
  <si>
    <t>Costo de Inversión:
- L.T. 500 kV Chilca CTM-Carabayllo - Tercer Circuito (Componente 1.1.del Proyecto Vinculante Enlace 500 kV Chilca, CTM-Carabayllo, Ampliación de Transformación y Reactor Núcleo de aire SE Chilca CTM): US$ 52´578,487.46
- Nueva Subestación Bicentenario 500/220 kV ampliaciones y subestaciones asociadas: US$ 125´379,470.10
- Reconfiguración Enlace 220 kV Chavarría – Santa Rosa – Carapongo, líneas, ampliaciones y subestaciones asociadas (Proyecto ITC): US$ 68´756,483.60
- Nueva Subestación Muyurina 220 kV, Nueva Subestación Ayacucho, LT 220 kV Muyurina-Ayacucho, ampliaciones y subestaciones asociadas: US$ 101´112,475.89
- Ampliación de Capacidad de Suministro del Sistema Eléctrico Ica (Proyecto ITC): US$ 56´622,986.50</t>
  </si>
  <si>
    <t>30.12.24</t>
  </si>
  <si>
    <t>18.12.24</t>
  </si>
  <si>
    <t>“Enlace 220 kV Aguaytía – Pucallpa, subestaciones, líneas y ampliaciones asociadas (Proyecto ITC)”, “Incremento de la Confiabilidad 138-60KV del Sistema Eléctrico de Tarma – Chanchamayo” e “Incremento de capacidad y confiabilidad (Criterio N-1) de Suministro del Sistema Eléctrico Huaraz (Proyecto ITC)”</t>
  </si>
  <si>
    <t>(c35)</t>
  </si>
  <si>
    <t>Gestión Social, Diseño y Ejecución de Proyectos de Infraestructura Hidráulica, Construcción, Implementación y Explotación de las Concesiones Mineras Integrantes del Yacimiento TG-3 del Proyecto El Algarrobo</t>
  </si>
  <si>
    <t>Costo de Inversión:
- Enlace 220 kV Aguaytía – Pucallpa, subestaciones, líneas y ampliaciones asociadas (Proyecto ITC): US$ 40´719,263.00
- Incremento de la Confiabilidad 138-60KV del Sistema Eléctrico de Tarma – Chanchamayo: US$ 25´040,343.00
- Incremento de capacidad y confiabilidad (Criterio N-1) de Suministro del Sistema Eléctrico Huaraz (Proyecto ITC): US$ 28´783,727.00</t>
  </si>
  <si>
    <r>
      <rPr>
        <b/>
        <sz val="9"/>
        <rFont val="Arial"/>
        <family val="2"/>
      </rPr>
      <t>Proyecto Amazonas</t>
    </r>
    <r>
      <rPr>
        <sz val="9"/>
        <rFont val="Arial"/>
        <family val="2"/>
      </rPr>
      <t xml:space="preserve">: US$ 68´221,094.00 (con IGV); </t>
    </r>
    <r>
      <rPr>
        <b/>
        <sz val="9"/>
        <rFont val="Arial"/>
        <family val="2"/>
      </rPr>
      <t>Proyecto Ica</t>
    </r>
    <r>
      <rPr>
        <sz val="9"/>
        <rFont val="Arial"/>
        <family val="2"/>
      </rPr>
      <t xml:space="preserve">: US$ 26´941,491.00 (con IGV);  </t>
    </r>
    <r>
      <rPr>
        <b/>
        <sz val="9"/>
        <rFont val="Arial"/>
        <family val="2"/>
      </rPr>
      <t>Proyecto Lima</t>
    </r>
    <r>
      <rPr>
        <sz val="9"/>
        <rFont val="Arial"/>
        <family val="2"/>
      </rPr>
      <t>: US$ 69´422,374.00 (con IGV).</t>
    </r>
  </si>
  <si>
    <r>
      <rPr>
        <b/>
        <sz val="9"/>
        <rFont val="Arial"/>
        <family val="2"/>
      </rPr>
      <t>Proyecto Junín</t>
    </r>
    <r>
      <rPr>
        <sz val="9"/>
        <rFont val="Arial"/>
        <family val="2"/>
      </rPr>
      <t xml:space="preserve">: US$ 74´411,308.00 (con IGV); </t>
    </r>
    <r>
      <rPr>
        <b/>
        <sz val="9"/>
        <rFont val="Arial"/>
        <family val="2"/>
      </rPr>
      <t>Proyecto Puno</t>
    </r>
    <r>
      <rPr>
        <sz val="9"/>
        <rFont val="Arial"/>
        <family val="2"/>
      </rPr>
      <t xml:space="preserve">: US$ 87´718,350.00 (con IGV);  </t>
    </r>
    <r>
      <rPr>
        <b/>
        <sz val="9"/>
        <rFont val="Arial"/>
        <family val="2"/>
      </rPr>
      <t>Proyecto Moquegua-Tacna</t>
    </r>
    <r>
      <rPr>
        <sz val="9"/>
        <rFont val="Arial"/>
        <family val="2"/>
      </rPr>
      <t>: US$ 36´106,152.00 (con IGV).</t>
    </r>
  </si>
  <si>
    <t>18.12.17
15.05.18</t>
  </si>
  <si>
    <t>Tratamiento de Aguas Residuales para disposición final o reúso, Ciudad de Chincha</t>
  </si>
  <si>
    <t>07.01.25</t>
  </si>
  <si>
    <r>
      <t xml:space="preserve">Infraestructura Penitenciaria y Renovación Urbana "Proyecto Tinkuy Plaza" </t>
    </r>
    <r>
      <rPr>
        <vertAlign val="superscript"/>
        <sz val="9"/>
        <color indexed="8"/>
        <rFont val="Arial"/>
        <family val="2"/>
      </rPr>
      <t>a32</t>
    </r>
  </si>
  <si>
    <t>21.07.25</t>
  </si>
  <si>
    <t>25.07.25</t>
  </si>
  <si>
    <t>Longitudinal de la Sierra Tramo 4</t>
  </si>
  <si>
    <t>22.09.25</t>
  </si>
  <si>
    <t>“Nueva Subestación Palca 220 kV, LT 220 kV Palca-La Pascana, ampliaciones y Subestaciones asociadas (Arequipa) (Proyecto ITC)”, “Enlace 220 kV Planicie – Industriales, ampliación a 3er circuito. (Proyecto ITC)”, “Enlace 138 kV Abancay Nueva – Andahuaylas, ampliaciones y subestaciones asociadas (Proyecto ITC)” y “Enlace 138 kV Derivación San Rafael - Ananea, ampliaciones y subestaciones asociadas (Proyecto ITC)”</t>
  </si>
  <si>
    <t>(c36)</t>
  </si>
  <si>
    <t>Costo de Inversión:
- Nueva Subestación Palca 220 kV, LT 220 kV Palca-La Pascana, ampliaciones y Subestaciones asociadas (Arequipa) (Proyecto ITC): US$ 81´400,800.48
- Enlace 220 kV Planicie – Industriales, ampliación a 3er circuito. (Proyecto ITC): US$ 25´000,355.68
- Enlace 138 kV Abancay Nueva – Andahuaylas, ampliaciones y subestaciones asociadas (Proyecto ITC): US$ 37´968,590.91 
- Enlace 138 kV Derivación San Rafael - Ananea, ampliaciones y subestaciones asociadas (Proyecto ITC): US$ 69´545,902.15</t>
  </si>
  <si>
    <t>TOTAL INICIATIVAS PRIVADAS ADJUDICADAS</t>
  </si>
  <si>
    <r>
      <t xml:space="preserve">Gestión del Instituto Nacional de Salud del Niño - San Borja </t>
    </r>
    <r>
      <rPr>
        <vertAlign val="superscript"/>
        <sz val="9"/>
        <color rgb="FF000000"/>
        <rFont val="Arial"/>
        <family val="2"/>
      </rPr>
      <t>a33</t>
    </r>
  </si>
  <si>
    <r>
      <t xml:space="preserve">Operación y Mantenimiento del Nuevo Hospital de Emergencias Villa El Salvador </t>
    </r>
    <r>
      <rPr>
        <vertAlign val="superscript"/>
        <sz val="9"/>
        <color rgb="FF000000"/>
        <rFont val="Arial"/>
        <family val="2"/>
      </rPr>
      <t>a34</t>
    </r>
  </si>
  <si>
    <t>a33</t>
  </si>
  <si>
    <t>a34</t>
  </si>
  <si>
    <t>Contrato de Operación y Mantenimiento, no hay monto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</si>
</sst>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_);_(* \(#,##0\);_(* &quot;-&quot;_);_(@_)"/>
    <numFmt numFmtId="166" formatCode="_(* #,##0.00_);_(* \(#,##0.00\);_(* &quot;-&quot;??_);_(@_)"/>
    <numFmt numFmtId="167" formatCode="_(&quot;$&quot;* #,##0.00_);_(&quot;$&quot;* \(#,##0.00\);_(&quot;$&quot;* &quot;-&quot;??_);_(@_)"/>
    <numFmt numFmtId="168" formatCode="_(* #,##0_);_(* \(#,##0\);_(* &quot;-&quot;??_);_(@_)"/>
    <numFmt numFmtId="169" formatCode="_(* #,##0.00_);_(* \(#,##0.00\);_(* &quot;-&quot;_);_(@_)"/>
    <numFmt numFmtId="170" formatCode="0.0000%"/>
    <numFmt numFmtId="171" formatCode="_(* #,##0.0000_);_(* \(#,##0.0000\);_(* &quot;-&quot;??_);_(@_)"/>
  </numFmts>
  <fonts count="35" x14ac:knownFonts="1">
    <font>
      <sz val="10"/>
      <name val="Arial"/>
    </font>
    <font>
      <b/>
      <sz val="10"/>
      <name val="Arial"/>
      <family val="2"/>
    </font>
    <font>
      <sz val="10"/>
      <name val="Arial"/>
      <family val="2"/>
    </font>
    <font>
      <sz val="9"/>
      <color indexed="8"/>
      <name val="Arial"/>
      <family val="2"/>
    </font>
    <font>
      <vertAlign val="superscript"/>
      <sz val="9"/>
      <color indexed="8"/>
      <name val="Arial"/>
      <family val="2"/>
    </font>
    <font>
      <b/>
      <sz val="9"/>
      <color indexed="8"/>
      <name val="Arial"/>
      <family val="2"/>
    </font>
    <font>
      <sz val="8"/>
      <color indexed="8"/>
      <name val="Arial"/>
      <family val="2"/>
    </font>
    <font>
      <vertAlign val="superscript"/>
      <sz val="8"/>
      <color indexed="8"/>
      <name val="Arial"/>
      <family val="2"/>
    </font>
    <font>
      <sz val="5"/>
      <color indexed="8"/>
      <name val="Arial"/>
      <family val="2"/>
    </font>
    <font>
      <sz val="7"/>
      <color indexed="8"/>
      <name val="Arial"/>
      <family val="2"/>
    </font>
    <font>
      <u val="singleAccounting"/>
      <sz val="9"/>
      <color indexed="8"/>
      <name val="Arial"/>
      <family val="2"/>
    </font>
    <font>
      <sz val="10"/>
      <color indexed="8"/>
      <name val="Arial"/>
      <family val="2"/>
    </font>
    <font>
      <sz val="11"/>
      <color indexed="8"/>
      <name val="Arial"/>
      <family val="2"/>
    </font>
    <font>
      <sz val="10"/>
      <color indexed="9"/>
      <name val="Arial"/>
      <family val="2"/>
    </font>
    <font>
      <b/>
      <sz val="11"/>
      <color indexed="9"/>
      <name val="Arial"/>
      <family val="2"/>
    </font>
    <font>
      <b/>
      <sz val="10"/>
      <color indexed="9"/>
      <name val="Arial"/>
      <family val="2"/>
    </font>
    <font>
      <sz val="9"/>
      <color indexed="9"/>
      <name val="Arial"/>
      <family val="2"/>
    </font>
    <font>
      <sz val="11"/>
      <color indexed="9"/>
      <name val="Arial"/>
      <family val="2"/>
    </font>
    <font>
      <b/>
      <sz val="9"/>
      <color indexed="9"/>
      <name val="Arial"/>
      <family val="2"/>
    </font>
    <font>
      <sz val="9"/>
      <name val="Arial"/>
      <family val="2"/>
    </font>
    <font>
      <b/>
      <sz val="9"/>
      <name val="Arial"/>
      <family val="2"/>
    </font>
    <font>
      <vertAlign val="superscript"/>
      <sz val="9"/>
      <name val="Arial"/>
      <family val="2"/>
    </font>
    <font>
      <sz val="8"/>
      <name val="Arial"/>
      <family val="2"/>
    </font>
    <font>
      <vertAlign val="superscript"/>
      <sz val="10"/>
      <name val="Arial"/>
      <family val="2"/>
    </font>
    <font>
      <vertAlign val="superscript"/>
      <sz val="12"/>
      <name val="Arial"/>
      <family val="2"/>
    </font>
    <font>
      <b/>
      <sz val="12"/>
      <name val="Arial"/>
      <family val="2"/>
    </font>
    <font>
      <i/>
      <sz val="12"/>
      <name val="Arial"/>
      <family val="2"/>
    </font>
    <font>
      <sz val="11"/>
      <name val="Arial"/>
      <family val="2"/>
    </font>
    <font>
      <sz val="10"/>
      <color theme="0"/>
      <name val="Arial"/>
      <family val="2"/>
    </font>
    <font>
      <sz val="11"/>
      <color theme="0"/>
      <name val="Arial"/>
      <family val="2"/>
    </font>
    <font>
      <b/>
      <sz val="9"/>
      <color theme="0"/>
      <name val="Arial"/>
      <family val="2"/>
    </font>
    <font>
      <sz val="9"/>
      <color theme="0"/>
      <name val="Arial"/>
      <family val="2"/>
    </font>
    <font>
      <sz val="10"/>
      <color indexed="8"/>
      <name val="Calibri"/>
      <family val="2"/>
      <scheme val="minor"/>
    </font>
    <font>
      <sz val="10"/>
      <color rgb="FFFF0000"/>
      <name val="Arial"/>
      <family val="2"/>
    </font>
    <font>
      <vertAlign val="superscript"/>
      <sz val="9"/>
      <color rgb="FF000000"/>
      <name val="Arial"/>
      <family val="2"/>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rgb="FFFF0000"/>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top style="thin">
        <color indexed="64"/>
      </top>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top style="hair">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style="thick">
        <color theme="0"/>
      </left>
      <right style="thick">
        <color theme="0"/>
      </right>
      <top style="thick">
        <color theme="0"/>
      </top>
      <bottom style="thick">
        <color theme="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hair">
        <color indexed="64"/>
      </left>
      <right style="thin">
        <color indexed="64"/>
      </right>
      <top/>
      <bottom style="hair">
        <color indexed="64"/>
      </bottom>
      <diagonal/>
    </border>
  </borders>
  <cellStyleXfs count="5">
    <xf numFmtId="0" fontId="0" fillId="0" borderId="0"/>
    <xf numFmtId="166"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cellStyleXfs>
  <cellXfs count="268">
    <xf numFmtId="0" fontId="0" fillId="0" borderId="0" xfId="0"/>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3" fillId="0" borderId="3" xfId="1" applyNumberFormat="1" applyFont="1" applyFill="1" applyBorder="1" applyAlignment="1">
      <alignment vertical="center"/>
    </xf>
    <xf numFmtId="0" fontId="3" fillId="0" borderId="4" xfId="0" applyFont="1" applyBorder="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vertical="center"/>
    </xf>
    <xf numFmtId="0" fontId="13" fillId="0" borderId="0" xfId="0" applyFont="1" applyAlignment="1">
      <alignment horizontal="center" vertical="center"/>
    </xf>
    <xf numFmtId="0" fontId="13" fillId="2" borderId="0" xfId="0" applyFont="1" applyFill="1" applyAlignment="1">
      <alignment vertical="center"/>
    </xf>
    <xf numFmtId="0" fontId="3" fillId="0" borderId="0" xfId="0" applyFont="1" applyAlignment="1">
      <alignment vertical="center"/>
    </xf>
    <xf numFmtId="168" fontId="5" fillId="0" borderId="0" xfId="1" applyNumberFormat="1" applyFont="1" applyFill="1" applyBorder="1" applyAlignment="1">
      <alignment vertical="center"/>
    </xf>
    <xf numFmtId="0" fontId="5" fillId="0" borderId="0" xfId="0" applyFont="1" applyAlignment="1">
      <alignment vertical="center"/>
    </xf>
    <xf numFmtId="168" fontId="5" fillId="0" borderId="0" xfId="1" applyNumberFormat="1" applyFont="1" applyBorder="1" applyAlignment="1">
      <alignment vertical="center"/>
    </xf>
    <xf numFmtId="0" fontId="5" fillId="0" borderId="5" xfId="0" applyFont="1" applyBorder="1" applyAlignment="1">
      <alignment vertical="center"/>
    </xf>
    <xf numFmtId="168" fontId="13" fillId="2" borderId="0" xfId="0" applyNumberFormat="1" applyFont="1" applyFill="1" applyAlignment="1">
      <alignment vertical="center"/>
    </xf>
    <xf numFmtId="165" fontId="5" fillId="0" borderId="0" xfId="1" applyNumberFormat="1" applyFont="1" applyBorder="1" applyAlignment="1">
      <alignment vertical="center"/>
    </xf>
    <xf numFmtId="0" fontId="17" fillId="2" borderId="0" xfId="0" applyFont="1" applyFill="1" applyAlignment="1">
      <alignment vertical="center"/>
    </xf>
    <xf numFmtId="0" fontId="17" fillId="0" borderId="0" xfId="0" applyFont="1" applyAlignment="1">
      <alignment vertical="center"/>
    </xf>
    <xf numFmtId="0" fontId="12" fillId="0" borderId="0" xfId="0" applyFont="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3" fillId="0" borderId="9" xfId="0" applyFont="1" applyBorder="1" applyAlignment="1">
      <alignment vertical="center"/>
    </xf>
    <xf numFmtId="168" fontId="3" fillId="0" borderId="3" xfId="1" applyNumberFormat="1"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6" fillId="2" borderId="0" xfId="0" applyFont="1" applyFill="1" applyAlignment="1">
      <alignment vertical="center"/>
    </xf>
    <xf numFmtId="0" fontId="16" fillId="0" borderId="0" xfId="0" applyFont="1" applyAlignment="1">
      <alignment vertical="center"/>
    </xf>
    <xf numFmtId="0" fontId="3" fillId="0" borderId="1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16" xfId="0" applyFont="1" applyBorder="1" applyAlignment="1">
      <alignment vertical="center"/>
    </xf>
    <xf numFmtId="0" fontId="11" fillId="0" borderId="20" xfId="0" applyFont="1" applyBorder="1" applyAlignment="1">
      <alignment vertical="center"/>
    </xf>
    <xf numFmtId="0" fontId="16" fillId="2" borderId="0" xfId="0" quotePrefix="1" applyFont="1" applyFill="1" applyAlignment="1">
      <alignment vertical="center"/>
    </xf>
    <xf numFmtId="168" fontId="16" fillId="2" borderId="0" xfId="1" applyNumberFormat="1" applyFont="1" applyFill="1" applyBorder="1" applyAlignment="1">
      <alignment vertical="center"/>
    </xf>
    <xf numFmtId="0" fontId="18" fillId="2" borderId="0" xfId="0" applyFont="1" applyFill="1" applyAlignment="1">
      <alignment vertical="center"/>
    </xf>
    <xf numFmtId="9" fontId="16" fillId="2" borderId="0" xfId="4" applyFont="1" applyFill="1" applyBorder="1" applyAlignment="1">
      <alignment vertical="center"/>
    </xf>
    <xf numFmtId="0" fontId="11" fillId="0" borderId="21" xfId="0" applyFont="1" applyBorder="1" applyAlignment="1">
      <alignment vertical="center"/>
    </xf>
    <xf numFmtId="0" fontId="3" fillId="0" borderId="2" xfId="0" applyFont="1" applyBorder="1" applyAlignment="1">
      <alignment vertical="center"/>
    </xf>
    <xf numFmtId="0" fontId="3" fillId="0" borderId="11" xfId="0" applyFont="1" applyBorder="1" applyAlignment="1">
      <alignment vertical="center"/>
    </xf>
    <xf numFmtId="0" fontId="3" fillId="2" borderId="8" xfId="0" applyFont="1" applyFill="1" applyBorder="1" applyAlignment="1">
      <alignment vertical="center"/>
    </xf>
    <xf numFmtId="0" fontId="3" fillId="2" borderId="13" xfId="0" applyFont="1" applyFill="1" applyBorder="1" applyAlignment="1">
      <alignment vertical="center"/>
    </xf>
    <xf numFmtId="0" fontId="5" fillId="3" borderId="2" xfId="0" applyFont="1" applyFill="1" applyBorder="1" applyAlignment="1">
      <alignment vertical="center"/>
    </xf>
    <xf numFmtId="0" fontId="3" fillId="0" borderId="22" xfId="0" applyFont="1" applyBorder="1" applyAlignment="1">
      <alignment vertical="center"/>
    </xf>
    <xf numFmtId="165" fontId="3" fillId="0" borderId="5" xfId="1" applyNumberFormat="1" applyFont="1" applyFill="1" applyBorder="1" applyAlignment="1">
      <alignment vertical="center"/>
    </xf>
    <xf numFmtId="171" fontId="5" fillId="0" borderId="0" xfId="1" applyNumberFormat="1" applyFont="1" applyFill="1" applyBorder="1" applyAlignment="1">
      <alignment vertical="center"/>
    </xf>
    <xf numFmtId="168" fontId="13" fillId="0" borderId="0" xfId="1" applyNumberFormat="1" applyFont="1" applyFill="1" applyBorder="1" applyAlignment="1">
      <alignment vertical="center"/>
    </xf>
    <xf numFmtId="168" fontId="13" fillId="2" borderId="0" xfId="1" applyNumberFormat="1" applyFont="1" applyFill="1" applyBorder="1" applyAlignment="1">
      <alignment vertical="center"/>
    </xf>
    <xf numFmtId="168" fontId="10" fillId="0" borderId="0" xfId="3" applyNumberFormat="1" applyFont="1" applyBorder="1" applyAlignment="1">
      <alignment vertical="center"/>
    </xf>
    <xf numFmtId="168" fontId="3" fillId="0" borderId="0" xfId="1" applyNumberFormat="1" applyFont="1" applyBorder="1" applyAlignment="1">
      <alignment vertical="center"/>
    </xf>
    <xf numFmtId="169" fontId="3" fillId="2" borderId="0" xfId="1" applyNumberFormat="1" applyFont="1" applyFill="1" applyBorder="1" applyAlignment="1">
      <alignment vertical="center"/>
    </xf>
    <xf numFmtId="168" fontId="11" fillId="0" borderId="0" xfId="1" applyNumberFormat="1" applyFont="1" applyAlignment="1">
      <alignment vertical="center"/>
    </xf>
    <xf numFmtId="0" fontId="13" fillId="2" borderId="0" xfId="0" applyFont="1" applyFill="1" applyAlignment="1">
      <alignment horizontal="center" vertical="center"/>
    </xf>
    <xf numFmtId="0" fontId="11" fillId="4" borderId="0" xfId="0" applyFont="1" applyFill="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3" borderId="2" xfId="0" applyFont="1" applyFill="1" applyBorder="1" applyAlignment="1">
      <alignment horizontal="center" vertical="center"/>
    </xf>
    <xf numFmtId="166" fontId="3" fillId="0" borderId="0" xfId="1" applyFont="1" applyBorder="1" applyAlignment="1">
      <alignment horizontal="center" vertical="center"/>
    </xf>
    <xf numFmtId="0" fontId="3" fillId="0" borderId="2" xfId="0" applyFont="1" applyBorder="1" applyAlignment="1">
      <alignment horizontal="center" vertical="center"/>
    </xf>
    <xf numFmtId="166" fontId="9" fillId="0" borderId="0" xfId="1" applyFont="1" applyBorder="1" applyAlignment="1">
      <alignment horizontal="center" vertical="center"/>
    </xf>
    <xf numFmtId="0" fontId="11" fillId="0" borderId="23" xfId="0" applyFont="1" applyBorder="1" applyAlignment="1">
      <alignment vertical="center"/>
    </xf>
    <xf numFmtId="0" fontId="11" fillId="0" borderId="22" xfId="0" applyFont="1" applyBorder="1" applyAlignment="1">
      <alignment vertical="center"/>
    </xf>
    <xf numFmtId="168" fontId="3" fillId="0" borderId="0" xfId="1" applyNumberFormat="1" applyFont="1" applyFill="1" applyBorder="1" applyAlignment="1">
      <alignment vertical="center"/>
    </xf>
    <xf numFmtId="0" fontId="3" fillId="0" borderId="22" xfId="0" applyFont="1" applyBorder="1" applyAlignment="1">
      <alignment horizontal="center" vertical="center"/>
    </xf>
    <xf numFmtId="168" fontId="28" fillId="2" borderId="0" xfId="0" applyNumberFormat="1" applyFont="1" applyFill="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4" xfId="0" applyFont="1" applyBorder="1" applyAlignment="1">
      <alignment vertical="center"/>
    </xf>
    <xf numFmtId="168" fontId="11" fillId="0" borderId="0" xfId="1" applyNumberFormat="1" applyFont="1" applyBorder="1" applyAlignment="1">
      <alignment vertical="center"/>
    </xf>
    <xf numFmtId="165" fontId="5" fillId="0" borderId="0" xfId="1" applyNumberFormat="1" applyFont="1" applyFill="1" applyBorder="1" applyAlignment="1">
      <alignment vertical="center"/>
    </xf>
    <xf numFmtId="168" fontId="5" fillId="0" borderId="0" xfId="3" applyNumberFormat="1" applyFont="1" applyBorder="1" applyAlignment="1">
      <alignment vertical="center"/>
    </xf>
    <xf numFmtId="0" fontId="3" fillId="2" borderId="0" xfId="0" applyFont="1" applyFill="1" applyAlignment="1">
      <alignment vertical="center"/>
    </xf>
    <xf numFmtId="0" fontId="2" fillId="0" borderId="0" xfId="0" applyFont="1" applyAlignment="1">
      <alignment vertical="center" wrapText="1"/>
    </xf>
    <xf numFmtId="168" fontId="5" fillId="0" borderId="0" xfId="3" applyNumberFormat="1" applyFont="1" applyFill="1" applyBorder="1" applyAlignment="1">
      <alignment vertical="center"/>
    </xf>
    <xf numFmtId="0" fontId="20" fillId="0" borderId="0" xfId="0" applyFont="1"/>
    <xf numFmtId="0" fontId="19" fillId="0" borderId="0" xfId="0" applyFont="1"/>
    <xf numFmtId="0" fontId="19" fillId="0" borderId="0" xfId="0" applyFont="1" applyAlignment="1">
      <alignment horizontal="justify" vertical="center" wrapText="1"/>
    </xf>
    <xf numFmtId="0" fontId="21" fillId="0" borderId="0" xfId="0" applyFont="1" applyAlignment="1">
      <alignment horizontal="justify" vertical="center" wrapText="1"/>
    </xf>
    <xf numFmtId="49" fontId="21" fillId="0" borderId="0" xfId="0" applyNumberFormat="1" applyFont="1" applyAlignment="1">
      <alignment horizontal="justify" vertical="center" wrapText="1"/>
    </xf>
    <xf numFmtId="0" fontId="24" fillId="0" borderId="0" xfId="0" applyFont="1" applyAlignment="1">
      <alignment vertical="center" wrapText="1"/>
    </xf>
    <xf numFmtId="0" fontId="24" fillId="0" borderId="0" xfId="0" applyFont="1" applyAlignment="1">
      <alignment horizontal="justify" vertical="center" wrapText="1"/>
    </xf>
    <xf numFmtId="0" fontId="15" fillId="5" borderId="0" xfId="0" applyFont="1" applyFill="1" applyAlignment="1">
      <alignment horizontal="center" vertical="center"/>
    </xf>
    <xf numFmtId="0" fontId="15" fillId="5" borderId="0" xfId="0" applyFont="1" applyFill="1" applyAlignment="1">
      <alignment vertical="center"/>
    </xf>
    <xf numFmtId="168" fontId="25" fillId="0" borderId="0" xfId="3" applyNumberFormat="1" applyFont="1" applyBorder="1" applyAlignment="1">
      <alignment vertical="center"/>
    </xf>
    <xf numFmtId="168" fontId="14" fillId="5" borderId="0" xfId="1" applyNumberFormat="1" applyFont="1" applyFill="1" applyBorder="1" applyAlignment="1">
      <alignment vertical="center"/>
    </xf>
    <xf numFmtId="165" fontId="14" fillId="5" borderId="0" xfId="2" applyFont="1" applyFill="1" applyBorder="1" applyAlignment="1">
      <alignment vertical="center"/>
    </xf>
    <xf numFmtId="0" fontId="21" fillId="6" borderId="0" xfId="0" applyFont="1" applyFill="1" applyAlignment="1">
      <alignment horizontal="justify" vertical="center" wrapText="1"/>
    </xf>
    <xf numFmtId="0" fontId="15" fillId="5" borderId="51" xfId="0" applyFont="1" applyFill="1" applyBorder="1" applyAlignment="1">
      <alignment horizontal="center" vertical="center" wrapText="1"/>
    </xf>
    <xf numFmtId="0" fontId="15" fillId="5" borderId="5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165" fontId="3" fillId="0" borderId="32" xfId="1" applyNumberFormat="1" applyFont="1" applyFill="1" applyBorder="1" applyAlignment="1">
      <alignment vertical="center"/>
    </xf>
    <xf numFmtId="168" fontId="3" fillId="0" borderId="33" xfId="1" applyNumberFormat="1" applyFont="1" applyBorder="1" applyAlignment="1">
      <alignment vertical="center"/>
    </xf>
    <xf numFmtId="165" fontId="3" fillId="0" borderId="33" xfId="1" applyNumberFormat="1" applyFont="1" applyFill="1" applyBorder="1" applyAlignment="1">
      <alignment vertical="center"/>
    </xf>
    <xf numFmtId="168" fontId="5" fillId="0" borderId="2" xfId="1" applyNumberFormat="1" applyFont="1" applyBorder="1" applyAlignment="1">
      <alignment vertical="center"/>
    </xf>
    <xf numFmtId="165" fontId="5" fillId="0" borderId="2" xfId="1" applyNumberFormat="1" applyFont="1" applyFill="1" applyBorder="1" applyAlignment="1">
      <alignment vertical="center"/>
    </xf>
    <xf numFmtId="168" fontId="3" fillId="2" borderId="26" xfId="1" applyNumberFormat="1" applyFont="1" applyFill="1" applyBorder="1" applyAlignment="1">
      <alignment vertical="center"/>
    </xf>
    <xf numFmtId="168" fontId="3" fillId="0" borderId="34" xfId="3" applyNumberFormat="1" applyFont="1" applyBorder="1" applyAlignment="1">
      <alignment vertical="center"/>
    </xf>
    <xf numFmtId="0" fontId="3" fillId="0" borderId="35" xfId="0" applyFont="1" applyBorder="1" applyAlignment="1">
      <alignment vertical="center"/>
    </xf>
    <xf numFmtId="168" fontId="3" fillId="0" borderId="34" xfId="3" applyNumberFormat="1" applyFont="1" applyFill="1" applyBorder="1" applyAlignment="1">
      <alignment vertical="center"/>
    </xf>
    <xf numFmtId="168" fontId="3" fillId="2" borderId="34" xfId="1" applyNumberFormat="1" applyFont="1" applyFill="1" applyBorder="1" applyAlignment="1">
      <alignment vertical="center"/>
    </xf>
    <xf numFmtId="168" fontId="3" fillId="2" borderId="28" xfId="1" applyNumberFormat="1" applyFont="1" applyFill="1" applyBorder="1" applyAlignment="1">
      <alignment vertical="center"/>
    </xf>
    <xf numFmtId="0" fontId="3" fillId="0" borderId="36" xfId="0" applyFont="1" applyBorder="1" applyAlignment="1">
      <alignment horizontal="center" vertical="center"/>
    </xf>
    <xf numFmtId="168" fontId="3" fillId="0" borderId="32" xfId="1" applyNumberFormat="1" applyFont="1" applyBorder="1" applyAlignment="1">
      <alignment vertical="center"/>
    </xf>
    <xf numFmtId="168" fontId="3" fillId="0" borderId="37" xfId="1" applyNumberFormat="1" applyFont="1" applyBorder="1" applyAlignment="1">
      <alignment vertical="center"/>
    </xf>
    <xf numFmtId="168" fontId="3" fillId="0" borderId="37" xfId="1" applyNumberFormat="1" applyFont="1" applyFill="1" applyBorder="1" applyAlignment="1">
      <alignment vertical="center"/>
    </xf>
    <xf numFmtId="165" fontId="3" fillId="0" borderId="37" xfId="1" applyNumberFormat="1" applyFont="1" applyFill="1" applyBorder="1" applyAlignment="1">
      <alignment vertical="center"/>
    </xf>
    <xf numFmtId="168" fontId="3" fillId="0" borderId="26" xfId="3" applyNumberFormat="1" applyFont="1" applyBorder="1" applyAlignment="1">
      <alignment vertical="center"/>
    </xf>
    <xf numFmtId="165" fontId="3" fillId="0" borderId="27" xfId="0" applyNumberFormat="1" applyFont="1" applyBorder="1" applyAlignment="1">
      <alignment vertical="center"/>
    </xf>
    <xf numFmtId="165" fontId="3" fillId="0" borderId="35" xfId="0" applyNumberFormat="1" applyFont="1" applyBorder="1" applyAlignment="1">
      <alignment vertical="center"/>
    </xf>
    <xf numFmtId="168" fontId="3" fillId="0" borderId="28" xfId="3" applyNumberFormat="1" applyFont="1" applyBorder="1" applyAlignment="1">
      <alignment vertical="center"/>
    </xf>
    <xf numFmtId="165" fontId="3" fillId="0" borderId="29" xfId="0" applyNumberFormat="1" applyFont="1" applyBorder="1" applyAlignment="1">
      <alignment vertical="center"/>
    </xf>
    <xf numFmtId="168" fontId="5" fillId="0" borderId="5" xfId="3" applyNumberFormat="1" applyFont="1" applyBorder="1" applyAlignment="1">
      <alignment vertical="center"/>
    </xf>
    <xf numFmtId="0" fontId="3" fillId="0" borderId="34" xfId="0" applyFont="1" applyBorder="1" applyAlignment="1">
      <alignment vertical="center"/>
    </xf>
    <xf numFmtId="0" fontId="3" fillId="0" borderId="36" xfId="0" quotePrefix="1"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horizontal="center" vertical="center"/>
    </xf>
    <xf numFmtId="168" fontId="3" fillId="0" borderId="41" xfId="1" applyNumberFormat="1" applyFont="1" applyBorder="1" applyAlignment="1">
      <alignment vertical="center"/>
    </xf>
    <xf numFmtId="165" fontId="3" fillId="0" borderId="41" xfId="1" applyNumberFormat="1" applyFont="1" applyFill="1" applyBorder="1" applyAlignment="1">
      <alignment vertical="center"/>
    </xf>
    <xf numFmtId="168" fontId="5" fillId="0" borderId="2" xfId="1" applyNumberFormat="1" applyFont="1" applyFill="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168" fontId="3" fillId="0" borderId="5" xfId="1" applyNumberFormat="1" applyFont="1" applyBorder="1" applyAlignment="1">
      <alignment vertical="center"/>
    </xf>
    <xf numFmtId="14" fontId="3" fillId="0" borderId="2" xfId="0" applyNumberFormat="1"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5" fillId="6" borderId="0" xfId="0" applyFont="1" applyFill="1" applyAlignment="1">
      <alignment vertical="center"/>
    </xf>
    <xf numFmtId="168" fontId="13" fillId="6" borderId="0" xfId="0" applyNumberFormat="1" applyFont="1" applyFill="1" applyAlignment="1">
      <alignment vertical="center"/>
    </xf>
    <xf numFmtId="0" fontId="16" fillId="6" borderId="0" xfId="0" applyFont="1" applyFill="1" applyAlignment="1">
      <alignment vertical="center"/>
    </xf>
    <xf numFmtId="0" fontId="3" fillId="6" borderId="0" xfId="0" applyFont="1" applyFill="1" applyAlignment="1">
      <alignment vertical="center"/>
    </xf>
    <xf numFmtId="0" fontId="15" fillId="6" borderId="0" xfId="0" applyFont="1" applyFill="1" applyAlignment="1">
      <alignment horizontal="left" vertical="center"/>
    </xf>
    <xf numFmtId="0" fontId="13" fillId="6" borderId="0" xfId="0" applyFont="1" applyFill="1" applyAlignment="1">
      <alignment vertical="center"/>
    </xf>
    <xf numFmtId="0" fontId="11" fillId="6" borderId="0" xfId="0" applyFont="1" applyFill="1" applyAlignment="1">
      <alignment vertical="center"/>
    </xf>
    <xf numFmtId="166" fontId="15" fillId="5" borderId="0" xfId="1" applyFont="1" applyFill="1" applyBorder="1" applyAlignment="1">
      <alignment vertical="center"/>
    </xf>
    <xf numFmtId="168" fontId="5" fillId="0" borderId="5" xfId="3" applyNumberFormat="1" applyFont="1" applyFill="1" applyBorder="1" applyAlignment="1">
      <alignment vertical="center"/>
    </xf>
    <xf numFmtId="168" fontId="5" fillId="0" borderId="2" xfId="0" applyNumberFormat="1" applyFont="1" applyBorder="1" applyAlignment="1">
      <alignment horizontal="center" vertical="center"/>
    </xf>
    <xf numFmtId="0" fontId="2" fillId="0" borderId="0" xfId="0" applyFont="1" applyAlignment="1">
      <alignment horizontal="justify" vertical="center" wrapText="1"/>
    </xf>
    <xf numFmtId="168" fontId="11" fillId="0" borderId="0" xfId="1" applyNumberFormat="1" applyFont="1" applyBorder="1" applyAlignment="1">
      <alignment horizontal="left" vertical="center" shrinkToFit="1"/>
    </xf>
    <xf numFmtId="0" fontId="11" fillId="0" borderId="0" xfId="0" applyFont="1" applyAlignment="1">
      <alignment horizontal="left" vertical="center" shrinkToFit="1"/>
    </xf>
    <xf numFmtId="0" fontId="15" fillId="6" borderId="0" xfId="0" applyFont="1" applyFill="1" applyAlignment="1">
      <alignment horizontal="left" vertical="center" shrinkToFit="1"/>
    </xf>
    <xf numFmtId="165" fontId="3" fillId="0" borderId="46" xfId="1" applyNumberFormat="1" applyFont="1" applyFill="1" applyBorder="1" applyAlignment="1">
      <alignment horizontal="left" vertical="center" shrinkToFit="1"/>
    </xf>
    <xf numFmtId="168" fontId="3" fillId="0" borderId="47" xfId="1" applyNumberFormat="1" applyFont="1" applyBorder="1" applyAlignment="1">
      <alignment horizontal="left" vertical="center" shrinkToFit="1"/>
    </xf>
    <xf numFmtId="168" fontId="5" fillId="0" borderId="2" xfId="1" applyNumberFormat="1" applyFont="1" applyBorder="1" applyAlignment="1">
      <alignment horizontal="left" vertical="center" shrinkToFit="1"/>
    </xf>
    <xf numFmtId="168" fontId="5" fillId="0" borderId="0" xfId="1" applyNumberFormat="1" applyFont="1" applyBorder="1" applyAlignment="1">
      <alignment horizontal="left" vertical="center" shrinkToFit="1"/>
    </xf>
    <xf numFmtId="168" fontId="3" fillId="0" borderId="46" xfId="1" applyNumberFormat="1" applyFont="1" applyBorder="1" applyAlignment="1">
      <alignment horizontal="left" vertical="center" shrinkToFit="1"/>
    </xf>
    <xf numFmtId="168" fontId="3" fillId="0" borderId="48" xfId="1" applyNumberFormat="1" applyFont="1" applyBorder="1" applyAlignment="1">
      <alignment horizontal="left" vertical="center" shrinkToFit="1"/>
    </xf>
    <xf numFmtId="168" fontId="3" fillId="0" borderId="48" xfId="1" applyNumberFormat="1" applyFont="1" applyFill="1" applyBorder="1" applyAlignment="1">
      <alignment horizontal="left" vertical="center" shrinkToFit="1"/>
    </xf>
    <xf numFmtId="168" fontId="3" fillId="0" borderId="49" xfId="1" applyNumberFormat="1" applyFont="1" applyBorder="1" applyAlignment="1">
      <alignment horizontal="left" vertical="center" shrinkToFit="1"/>
    </xf>
    <xf numFmtId="168" fontId="3" fillId="0" borderId="2" xfId="1" applyNumberFormat="1" applyFont="1" applyBorder="1" applyAlignment="1">
      <alignment horizontal="left" vertical="center" shrinkToFit="1"/>
    </xf>
    <xf numFmtId="168" fontId="5" fillId="0" borderId="2" xfId="1" applyNumberFormat="1" applyFont="1" applyFill="1" applyBorder="1" applyAlignment="1">
      <alignment horizontal="left" vertical="center" shrinkToFit="1"/>
    </xf>
    <xf numFmtId="168" fontId="3" fillId="0" borderId="50" xfId="1" applyNumberFormat="1" applyFont="1" applyBorder="1" applyAlignment="1">
      <alignment horizontal="left" vertical="center" shrinkToFit="1"/>
    </xf>
    <xf numFmtId="0" fontId="5" fillId="6" borderId="0" xfId="0" applyFont="1" applyFill="1" applyAlignment="1">
      <alignment horizontal="left" vertical="center" shrinkToFit="1"/>
    </xf>
    <xf numFmtId="166" fontId="15" fillId="5" borderId="0" xfId="1" applyFont="1" applyFill="1" applyBorder="1" applyAlignment="1">
      <alignment horizontal="left" vertical="center" shrinkToFit="1"/>
    </xf>
    <xf numFmtId="0" fontId="5" fillId="0" borderId="0" xfId="0" applyFont="1" applyAlignment="1">
      <alignment horizontal="left" vertical="center" shrinkToFit="1"/>
    </xf>
    <xf numFmtId="168" fontId="5" fillId="0" borderId="0" xfId="1" applyNumberFormat="1" applyFont="1" applyFill="1" applyBorder="1" applyAlignment="1">
      <alignment horizontal="left" vertical="center" shrinkToFit="1"/>
    </xf>
    <xf numFmtId="168" fontId="3" fillId="0" borderId="0" xfId="1" applyNumberFormat="1" applyFont="1" applyBorder="1" applyAlignment="1">
      <alignment horizontal="left" vertical="center" shrinkToFit="1"/>
    </xf>
    <xf numFmtId="168" fontId="3" fillId="0" borderId="4" xfId="1" applyNumberFormat="1" applyFont="1" applyBorder="1" applyAlignment="1">
      <alignment horizontal="left" vertical="center" shrinkToFit="1"/>
    </xf>
    <xf numFmtId="168" fontId="14" fillId="5" borderId="0" xfId="1" applyNumberFormat="1" applyFont="1" applyFill="1" applyBorder="1" applyAlignment="1">
      <alignment horizontal="left" vertical="center" shrinkToFit="1"/>
    </xf>
    <xf numFmtId="0" fontId="19" fillId="0" borderId="0" xfId="0" applyFont="1" applyAlignment="1">
      <alignment horizontal="left" vertical="center" shrinkToFit="1"/>
    </xf>
    <xf numFmtId="168" fontId="11" fillId="0" borderId="0" xfId="1" applyNumberFormat="1" applyFont="1" applyAlignment="1">
      <alignment horizontal="left" vertical="center" shrinkToFit="1"/>
    </xf>
    <xf numFmtId="0" fontId="3" fillId="0" borderId="0" xfId="0" applyFont="1" applyAlignment="1">
      <alignment horizontal="left" vertical="center" shrinkToFit="1"/>
    </xf>
    <xf numFmtId="0" fontId="3" fillId="0" borderId="46"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8"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49" xfId="0" applyFont="1" applyBorder="1" applyAlignment="1">
      <alignment horizontal="left" vertical="center" shrinkToFit="1"/>
    </xf>
    <xf numFmtId="0" fontId="11" fillId="0" borderId="4" xfId="0" applyFont="1" applyBorder="1" applyAlignment="1">
      <alignment horizontal="left" vertical="center" shrinkToFit="1"/>
    </xf>
    <xf numFmtId="0" fontId="3" fillId="0" borderId="49" xfId="0" applyFont="1" applyBorder="1" applyAlignment="1">
      <alignment horizontal="left" vertical="center" shrinkToFit="1"/>
    </xf>
    <xf numFmtId="0" fontId="5" fillId="0" borderId="4" xfId="0" applyFont="1" applyBorder="1" applyAlignment="1">
      <alignment horizontal="left" vertical="center" shrinkToFit="1"/>
    </xf>
    <xf numFmtId="0" fontId="3" fillId="0" borderId="50" xfId="0" applyFont="1" applyBorder="1" applyAlignment="1">
      <alignment horizontal="left" vertical="center" shrinkToFit="1"/>
    </xf>
    <xf numFmtId="165" fontId="3" fillId="0" borderId="4" xfId="1" applyNumberFormat="1" applyFont="1" applyFill="1" applyBorder="1" applyAlignment="1">
      <alignment horizontal="left" vertical="center" shrinkToFit="1"/>
    </xf>
    <xf numFmtId="165" fontId="3" fillId="0" borderId="0" xfId="1" applyNumberFormat="1" applyFont="1" applyBorder="1" applyAlignment="1">
      <alignment horizontal="left" vertical="center" shrinkToFit="1"/>
    </xf>
    <xf numFmtId="165" fontId="3" fillId="0" borderId="0" xfId="1" applyNumberFormat="1" applyFont="1" applyFill="1" applyBorder="1" applyAlignment="1">
      <alignment horizontal="left" vertical="center" shrinkToFit="1"/>
    </xf>
    <xf numFmtId="165" fontId="5" fillId="0" borderId="4" xfId="1" applyNumberFormat="1" applyFont="1" applyFill="1" applyBorder="1" applyAlignment="1">
      <alignment horizontal="left" vertical="center" shrinkToFit="1"/>
    </xf>
    <xf numFmtId="165" fontId="5" fillId="0" borderId="0" xfId="1" applyNumberFormat="1" applyFont="1" applyFill="1" applyBorder="1" applyAlignment="1">
      <alignment horizontal="left" vertical="center" shrinkToFit="1"/>
    </xf>
    <xf numFmtId="165" fontId="3" fillId="2" borderId="0" xfId="1" applyNumberFormat="1" applyFont="1" applyFill="1" applyBorder="1" applyAlignment="1">
      <alignment horizontal="left" vertical="center" shrinkToFit="1"/>
    </xf>
    <xf numFmtId="0" fontId="14" fillId="5" borderId="0" xfId="0" applyFont="1" applyFill="1" applyAlignment="1">
      <alignment horizontal="left" vertical="center" shrinkToFit="1"/>
    </xf>
    <xf numFmtId="164" fontId="11" fillId="0" borderId="0" xfId="0" applyNumberFormat="1" applyFont="1" applyAlignment="1">
      <alignment horizontal="center" vertical="center"/>
    </xf>
    <xf numFmtId="168" fontId="5" fillId="6" borderId="0" xfId="0" applyNumberFormat="1" applyFont="1" applyFill="1" applyAlignment="1">
      <alignment vertical="center"/>
    </xf>
    <xf numFmtId="168" fontId="11" fillId="0" borderId="0" xfId="0" applyNumberFormat="1" applyFont="1" applyAlignment="1">
      <alignment vertical="center"/>
    </xf>
    <xf numFmtId="17" fontId="3" fillId="0" borderId="36" xfId="0" applyNumberFormat="1" applyFont="1" applyBorder="1" applyAlignment="1">
      <alignment horizontal="center" vertical="center"/>
    </xf>
    <xf numFmtId="164" fontId="3" fillId="0" borderId="2" xfId="0" applyNumberFormat="1" applyFont="1" applyBorder="1" applyAlignment="1">
      <alignment horizontal="center" vertical="center"/>
    </xf>
    <xf numFmtId="165" fontId="3" fillId="6" borderId="41" xfId="1" applyNumberFormat="1" applyFont="1" applyFill="1" applyBorder="1" applyAlignment="1">
      <alignment vertical="center"/>
    </xf>
    <xf numFmtId="0" fontId="28" fillId="2" borderId="0" xfId="0" applyFont="1" applyFill="1" applyAlignment="1">
      <alignment vertical="center"/>
    </xf>
    <xf numFmtId="0" fontId="28" fillId="2" borderId="0" xfId="0" applyFont="1" applyFill="1" applyAlignment="1">
      <alignment horizontal="center" vertical="center"/>
    </xf>
    <xf numFmtId="0" fontId="28" fillId="6" borderId="0" xfId="0" applyFont="1" applyFill="1" applyAlignment="1">
      <alignment vertical="center"/>
    </xf>
    <xf numFmtId="0" fontId="29" fillId="2" borderId="0" xfId="0" applyFont="1" applyFill="1" applyAlignment="1">
      <alignment vertical="center"/>
    </xf>
    <xf numFmtId="0" fontId="28" fillId="0" borderId="0" xfId="0" applyFont="1" applyAlignment="1">
      <alignment horizontal="right"/>
    </xf>
    <xf numFmtId="168" fontId="28" fillId="6" borderId="0" xfId="0" applyNumberFormat="1" applyFont="1" applyFill="1" applyAlignment="1">
      <alignment vertical="center"/>
    </xf>
    <xf numFmtId="0" fontId="30" fillId="0" borderId="0" xfId="0" applyFont="1" applyAlignment="1">
      <alignment vertical="center"/>
    </xf>
    <xf numFmtId="166" fontId="31" fillId="2" borderId="0" xfId="1" applyFont="1" applyFill="1" applyBorder="1" applyAlignment="1">
      <alignment vertical="center"/>
    </xf>
    <xf numFmtId="166" fontId="28" fillId="2" borderId="0" xfId="1" applyFont="1" applyFill="1" applyBorder="1" applyAlignment="1">
      <alignment vertical="center"/>
    </xf>
    <xf numFmtId="168" fontId="3" fillId="0" borderId="32" xfId="1" applyNumberFormat="1" applyFont="1" applyFill="1" applyBorder="1" applyAlignment="1">
      <alignment vertical="center"/>
    </xf>
    <xf numFmtId="168" fontId="3" fillId="0" borderId="46" xfId="1" applyNumberFormat="1" applyFont="1" applyFill="1" applyBorder="1" applyAlignment="1">
      <alignment horizontal="left" vertical="center" shrinkToFit="1"/>
    </xf>
    <xf numFmtId="168" fontId="28" fillId="0" borderId="0" xfId="0" applyNumberFormat="1" applyFont="1" applyAlignment="1">
      <alignment vertical="center"/>
    </xf>
    <xf numFmtId="168" fontId="13" fillId="0" borderId="0" xfId="0" applyNumberFormat="1" applyFont="1" applyAlignment="1">
      <alignment vertical="center"/>
    </xf>
    <xf numFmtId="168" fontId="2" fillId="2" borderId="0" xfId="0" applyNumberFormat="1" applyFont="1" applyFill="1" applyAlignment="1">
      <alignment vertical="center"/>
    </xf>
    <xf numFmtId="0" fontId="2" fillId="2" borderId="0" xfId="0" applyFont="1" applyFill="1" applyAlignment="1">
      <alignment vertical="center"/>
    </xf>
    <xf numFmtId="168" fontId="3" fillId="0" borderId="41" xfId="1" applyNumberFormat="1" applyFont="1" applyFill="1" applyBorder="1" applyAlignment="1">
      <alignment vertical="center"/>
    </xf>
    <xf numFmtId="168" fontId="3" fillId="0" borderId="49" xfId="1" applyNumberFormat="1" applyFont="1" applyFill="1" applyBorder="1" applyAlignment="1">
      <alignment horizontal="left" vertical="center" shrinkToFit="1"/>
    </xf>
    <xf numFmtId="165" fontId="32" fillId="0" borderId="37" xfId="1" applyNumberFormat="1" applyFont="1" applyFill="1" applyBorder="1" applyAlignment="1">
      <alignment vertical="center"/>
    </xf>
    <xf numFmtId="168" fontId="27" fillId="2" borderId="0" xfId="0" applyNumberFormat="1" applyFont="1" applyFill="1" applyAlignment="1">
      <alignment vertical="center"/>
    </xf>
    <xf numFmtId="0" fontId="33" fillId="2" borderId="0" xfId="0" applyFont="1" applyFill="1" applyAlignment="1">
      <alignment vertical="center"/>
    </xf>
    <xf numFmtId="0" fontId="11" fillId="0" borderId="0" xfId="0" applyFont="1" applyAlignment="1">
      <alignment horizontal="justify" vertical="center" wrapText="1"/>
    </xf>
    <xf numFmtId="0" fontId="15" fillId="5" borderId="51" xfId="0" applyFont="1" applyFill="1" applyBorder="1" applyAlignment="1">
      <alignment horizontal="justify" vertical="center" wrapText="1"/>
    </xf>
    <xf numFmtId="0" fontId="15" fillId="6" borderId="0" xfId="0" applyFont="1" applyFill="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0" xfId="0" applyFont="1" applyAlignment="1">
      <alignment horizontal="justify" vertical="center" wrapText="1"/>
    </xf>
    <xf numFmtId="0" fontId="3" fillId="0" borderId="36"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40" xfId="0" applyFont="1" applyBorder="1" applyAlignment="1">
      <alignment horizontal="justify" vertical="center" wrapText="1"/>
    </xf>
    <xf numFmtId="0" fontId="5" fillId="3" borderId="2" xfId="0" applyFont="1" applyFill="1" applyBorder="1" applyAlignment="1">
      <alignment horizontal="justify" vertical="center" wrapText="1"/>
    </xf>
    <xf numFmtId="0" fontId="3" fillId="0" borderId="1" xfId="0" applyFont="1" applyBorder="1" applyAlignment="1">
      <alignment horizontal="justify" vertical="center" wrapText="1"/>
    </xf>
    <xf numFmtId="0" fontId="5" fillId="6" borderId="0" xfId="0" applyFont="1" applyFill="1" applyAlignment="1">
      <alignment horizontal="justify" vertical="center" wrapText="1"/>
    </xf>
    <xf numFmtId="0" fontId="15" fillId="5" borderId="0" xfId="0" applyFont="1" applyFill="1" applyAlignment="1">
      <alignment horizontal="justify" vertical="center" wrapText="1"/>
    </xf>
    <xf numFmtId="0" fontId="3" fillId="0" borderId="0" xfId="0" applyFont="1" applyAlignment="1">
      <alignment horizontal="justify" vertical="center" wrapText="1"/>
    </xf>
    <xf numFmtId="0" fontId="3" fillId="0" borderId="22" xfId="0" applyFont="1" applyBorder="1" applyAlignment="1">
      <alignment horizontal="justify" vertical="center" wrapText="1"/>
    </xf>
    <xf numFmtId="170" fontId="3" fillId="0" borderId="0" xfId="4" applyNumberFormat="1" applyFont="1" applyBorder="1" applyAlignment="1">
      <alignment horizontal="justify" vertical="center" wrapText="1"/>
    </xf>
    <xf numFmtId="0" fontId="3" fillId="0" borderId="7" xfId="0" applyFont="1" applyBorder="1" applyAlignment="1">
      <alignment horizontal="left" vertical="center" shrinkToFit="1"/>
    </xf>
    <xf numFmtId="0" fontId="3" fillId="0" borderId="60" xfId="0" applyFont="1" applyBorder="1" applyAlignment="1">
      <alignment vertical="center"/>
    </xf>
    <xf numFmtId="168" fontId="3" fillId="0" borderId="16" xfId="1" applyNumberFormat="1" applyFont="1" applyBorder="1" applyAlignment="1">
      <alignment vertical="center"/>
    </xf>
    <xf numFmtId="165" fontId="3" fillId="0" borderId="16" xfId="1" applyNumberFormat="1" applyFont="1" applyFill="1" applyBorder="1" applyAlignment="1">
      <alignment vertical="center"/>
    </xf>
    <xf numFmtId="0" fontId="3" fillId="0" borderId="33" xfId="0" applyFont="1" applyBorder="1" applyAlignment="1">
      <alignment horizontal="justify" vertical="center" wrapText="1"/>
    </xf>
    <xf numFmtId="168" fontId="3" fillId="0" borderId="16" xfId="1" applyNumberFormat="1" applyFont="1" applyBorder="1" applyAlignment="1">
      <alignment horizontal="left" vertical="center" shrinkToFit="1"/>
    </xf>
    <xf numFmtId="0" fontId="3" fillId="0" borderId="33" xfId="0" applyFont="1" applyBorder="1" applyAlignment="1">
      <alignment horizontal="center" vertical="center"/>
    </xf>
    <xf numFmtId="0" fontId="3" fillId="0" borderId="40" xfId="0" applyFont="1" applyBorder="1" applyAlignment="1">
      <alignment horizontal="center" vertical="center" wrapText="1"/>
    </xf>
    <xf numFmtId="0" fontId="19" fillId="0" borderId="0" xfId="0" applyFont="1" applyAlignment="1">
      <alignment horizontal="justify" vertical="center" wrapText="1"/>
    </xf>
    <xf numFmtId="0" fontId="19" fillId="0" borderId="0" xfId="0" applyFont="1" applyAlignment="1">
      <alignment horizontal="left" vertical="center" wrapText="1"/>
    </xf>
    <xf numFmtId="0" fontId="14" fillId="8" borderId="0" xfId="0" applyFont="1" applyFill="1" applyAlignment="1">
      <alignment vertical="center"/>
    </xf>
    <xf numFmtId="0" fontId="5" fillId="9" borderId="5" xfId="0" applyFont="1" applyFill="1" applyBorder="1" applyAlignment="1">
      <alignment vertical="center"/>
    </xf>
    <xf numFmtId="0" fontId="5" fillId="9" borderId="2" xfId="0" applyFont="1" applyFill="1" applyBorder="1" applyAlignment="1">
      <alignment vertical="center"/>
    </xf>
    <xf numFmtId="0" fontId="5" fillId="9" borderId="4" xfId="0" applyFont="1" applyFill="1" applyBorder="1" applyAlignment="1">
      <alignment vertical="center"/>
    </xf>
    <xf numFmtId="0" fontId="14" fillId="8" borderId="52" xfId="0" applyFont="1" applyFill="1" applyBorder="1" applyAlignment="1">
      <alignment vertical="center"/>
    </xf>
    <xf numFmtId="0" fontId="14" fillId="8" borderId="53" xfId="0" applyFont="1" applyFill="1" applyBorder="1" applyAlignment="1">
      <alignment vertical="center"/>
    </xf>
    <xf numFmtId="0" fontId="14" fillId="8" borderId="54" xfId="0" applyFont="1" applyFill="1" applyBorder="1" applyAlignment="1">
      <alignment vertical="center"/>
    </xf>
    <xf numFmtId="0" fontId="14" fillId="8" borderId="55" xfId="0" applyFont="1" applyFill="1" applyBorder="1" applyAlignment="1">
      <alignment vertical="center"/>
    </xf>
    <xf numFmtId="0" fontId="14" fillId="8" borderId="56" xfId="0" applyFont="1" applyFill="1" applyBorder="1" applyAlignment="1">
      <alignment vertical="center"/>
    </xf>
    <xf numFmtId="0" fontId="14" fillId="8" borderId="57" xfId="0" applyFont="1" applyFill="1" applyBorder="1" applyAlignment="1">
      <alignment vertical="center"/>
    </xf>
    <xf numFmtId="0" fontId="5" fillId="7" borderId="5" xfId="0" applyFont="1" applyFill="1" applyBorder="1" applyAlignment="1">
      <alignment vertical="center"/>
    </xf>
    <xf numFmtId="0" fontId="5" fillId="7" borderId="2" xfId="0" applyFont="1" applyFill="1" applyBorder="1" applyAlignment="1">
      <alignment vertical="center"/>
    </xf>
    <xf numFmtId="0" fontId="5" fillId="7" borderId="4" xfId="0" applyFont="1" applyFill="1" applyBorder="1" applyAlignment="1">
      <alignment vertical="center"/>
    </xf>
    <xf numFmtId="0" fontId="15" fillId="8" borderId="55" xfId="0" applyFont="1" applyFill="1" applyBorder="1" applyAlignment="1">
      <alignment horizontal="left" vertical="center"/>
    </xf>
    <xf numFmtId="0" fontId="15" fillId="8" borderId="56" xfId="0" applyFont="1" applyFill="1" applyBorder="1" applyAlignment="1">
      <alignment horizontal="left" vertical="center"/>
    </xf>
    <xf numFmtId="0" fontId="15" fillId="8" borderId="57" xfId="0" applyFont="1" applyFill="1" applyBorder="1" applyAlignment="1">
      <alignment horizontal="left" vertical="center"/>
    </xf>
    <xf numFmtId="0" fontId="25" fillId="0" borderId="0" xfId="0" applyFont="1" applyAlignment="1">
      <alignment horizontal="center" vertical="center"/>
    </xf>
    <xf numFmtId="0" fontId="15" fillId="5" borderId="58" xfId="0" applyFont="1" applyFill="1" applyBorder="1" applyAlignment="1">
      <alignment horizontal="center" vertical="center"/>
    </xf>
    <xf numFmtId="0" fontId="15" fillId="5" borderId="59" xfId="0" applyFont="1" applyFill="1" applyBorder="1" applyAlignment="1">
      <alignment horizontal="center" vertical="center"/>
    </xf>
    <xf numFmtId="168" fontId="15" fillId="5" borderId="58" xfId="1" applyNumberFormat="1" applyFont="1" applyFill="1" applyBorder="1" applyAlignment="1">
      <alignment horizontal="center" vertical="center" wrapText="1"/>
    </xf>
    <xf numFmtId="168" fontId="15" fillId="5" borderId="59" xfId="1" applyNumberFormat="1" applyFont="1" applyFill="1" applyBorder="1" applyAlignment="1">
      <alignment horizontal="center" vertical="center" wrapText="1"/>
    </xf>
  </cellXfs>
  <cellStyles count="5">
    <cellStyle name="Millares" xfId="1" builtinId="3"/>
    <cellStyle name="Millares [0]" xfId="2" builtinId="6"/>
    <cellStyle name="Moneda" xfId="3" builtinId="4"/>
    <cellStyle name="Normal" xfId="0" builtinId="0"/>
    <cellStyle name="Porcentaje"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7</xdr:col>
      <xdr:colOff>85725</xdr:colOff>
      <xdr:row>5</xdr:row>
      <xdr:rowOff>47625</xdr:rowOff>
    </xdr:to>
    <xdr:pic>
      <xdr:nvPicPr>
        <xdr:cNvPr id="5294" name="12 Imagen" descr="Captura de pantalla 2014-01-03 a la(s) 09">
          <a:extLst>
            <a:ext uri="{FF2B5EF4-FFF2-40B4-BE49-F238E27FC236}">
              <a16:creationId xmlns:a16="http://schemas.microsoft.com/office/drawing/2014/main" id="{F2209CE5-74C4-6F06-3AFA-58E861A7D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0688"/>
        <a:stretch>
          <a:fillRect/>
        </a:stretch>
      </xdr:blipFill>
      <xdr:spPr bwMode="auto">
        <a:xfrm>
          <a:off x="0" y="38100"/>
          <a:ext cx="7658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529591</xdr:colOff>
      <xdr:row>4</xdr:row>
      <xdr:rowOff>160020</xdr:rowOff>
    </xdr:from>
    <xdr:to>
      <xdr:col>7</xdr:col>
      <xdr:colOff>699138</xdr:colOff>
      <xdr:row>7</xdr:row>
      <xdr:rowOff>142876</xdr:rowOff>
    </xdr:to>
    <xdr:sp macro="" textlink="">
      <xdr:nvSpPr>
        <xdr:cNvPr id="1995" name="Cuadro de texto 2">
          <a:extLst>
            <a:ext uri="{FF2B5EF4-FFF2-40B4-BE49-F238E27FC236}">
              <a16:creationId xmlns:a16="http://schemas.microsoft.com/office/drawing/2014/main" id="{B28FA032-4B34-B2D5-2E61-EE49E922112D}"/>
            </a:ext>
          </a:extLst>
        </xdr:cNvPr>
        <xdr:cNvSpPr txBox="1">
          <a:spLocks noChangeArrowheads="1"/>
        </xdr:cNvSpPr>
      </xdr:nvSpPr>
      <xdr:spPr bwMode="auto">
        <a:xfrm>
          <a:off x="1143001" y="952500"/>
          <a:ext cx="7370447" cy="577216"/>
        </a:xfrm>
        <a:prstGeom prst="rect">
          <a:avLst/>
        </a:prstGeom>
        <a:solidFill>
          <a:srgbClr val="FFFFFF"/>
        </a:solidFill>
        <a:ln>
          <a:noFill/>
        </a:ln>
      </xdr:spPr>
      <xdr:txBody>
        <a:bodyPr vertOverflow="clip" wrap="square" lIns="91440" tIns="45720" rIns="91440" bIns="45720" anchor="t" upright="1"/>
        <a:lstStyle/>
        <a:p>
          <a:pPr algn="l" rtl="0">
            <a:lnSpc>
              <a:spcPts val="1100"/>
            </a:lnSpc>
            <a:defRPr sz="1000"/>
          </a:pPr>
          <a:r>
            <a:rPr lang="es-PE" sz="1100" b="0" i="0" u="none" strike="noStrike" baseline="0">
              <a:solidFill>
                <a:srgbClr val="000000"/>
              </a:solidFill>
              <a:latin typeface="Arial Rounded MT Bold" panose="020F070403050403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H747"/>
  <sheetViews>
    <sheetView showGridLines="0" tabSelected="1" topLeftCell="A566" zoomScaleNormal="100" zoomScaleSheetLayoutView="100" workbookViewId="0">
      <selection activeCell="K577" sqref="K577"/>
    </sheetView>
  </sheetViews>
  <sheetFormatPr baseColWidth="10" defaultColWidth="9.140625" defaultRowHeight="15.95" customHeight="1" x14ac:dyDescent="0.2"/>
  <cols>
    <col min="1" max="1" width="4.5703125" style="9" customWidth="1"/>
    <col min="2" max="2" width="4.140625" style="9" bestFit="1" customWidth="1"/>
    <col min="3" max="3" width="13.42578125" style="7" customWidth="1"/>
    <col min="4" max="4" width="51.85546875" style="220" customWidth="1"/>
    <col min="5" max="5" width="19.7109375" style="7" customWidth="1"/>
    <col min="6" max="6" width="16.85546875" style="61" bestFit="1" customWidth="1"/>
    <col min="7" max="7" width="3.85546875" style="174" customWidth="1"/>
    <col min="8" max="8" width="17.5703125" style="61" bestFit="1" customWidth="1"/>
    <col min="9" max="9" width="9.140625" style="153" customWidth="1"/>
    <col min="10" max="10" width="17.42578125" style="200" customWidth="1"/>
    <col min="11" max="11" width="20" style="11" customWidth="1"/>
    <col min="12" max="18" width="9.140625" style="11" customWidth="1"/>
    <col min="19" max="35" width="9.140625" style="8" customWidth="1"/>
    <col min="36" max="111" width="9.140625" style="9" customWidth="1"/>
    <col min="112" max="16384" width="9.140625" style="9"/>
  </cols>
  <sheetData>
    <row r="1" spans="1:111" ht="15.95" customHeight="1" x14ac:dyDescent="0.2">
      <c r="F1" s="78"/>
      <c r="G1" s="152"/>
      <c r="H1" s="78"/>
    </row>
    <row r="2" spans="1:111" ht="15.95" customHeight="1" x14ac:dyDescent="0.2">
      <c r="F2" s="78"/>
      <c r="G2" s="152"/>
      <c r="H2" s="78"/>
    </row>
    <row r="3" spans="1:111" ht="15.95" customHeight="1" x14ac:dyDescent="0.2">
      <c r="F3" s="78"/>
      <c r="G3" s="152"/>
      <c r="H3" s="78"/>
    </row>
    <row r="4" spans="1:111" ht="15.95" customHeight="1" x14ac:dyDescent="0.2">
      <c r="F4" s="78"/>
      <c r="G4" s="152"/>
      <c r="H4" s="78"/>
    </row>
    <row r="5" spans="1:111" ht="15.95" customHeight="1" x14ac:dyDescent="0.2">
      <c r="F5" s="78"/>
      <c r="G5" s="152"/>
      <c r="H5" s="78"/>
    </row>
    <row r="6" spans="1:111" ht="15.95" customHeight="1" x14ac:dyDescent="0.2">
      <c r="F6" s="78"/>
      <c r="G6" s="152"/>
      <c r="H6" s="78"/>
    </row>
    <row r="7" spans="1:111" ht="15.95" customHeight="1" x14ac:dyDescent="0.2">
      <c r="F7" s="78"/>
      <c r="G7" s="152"/>
      <c r="H7" s="78"/>
    </row>
    <row r="8" spans="1:111" ht="15.95" customHeight="1" x14ac:dyDescent="0.2">
      <c r="F8" s="78"/>
      <c r="G8" s="152"/>
      <c r="H8" s="78"/>
    </row>
    <row r="9" spans="1:111" ht="18.75" customHeight="1" thickBot="1" x14ac:dyDescent="0.25">
      <c r="A9" s="263" t="s">
        <v>0</v>
      </c>
      <c r="B9" s="263"/>
      <c r="C9" s="263"/>
      <c r="D9" s="263"/>
      <c r="E9" s="263"/>
      <c r="F9" s="263"/>
      <c r="G9" s="263"/>
      <c r="H9" s="263"/>
      <c r="I9" s="263"/>
    </row>
    <row r="10" spans="1:111" s="63" customFormat="1" ht="43.5" customHeight="1" thickTop="1" thickBot="1" x14ac:dyDescent="0.25">
      <c r="A10" s="264" t="s">
        <v>1</v>
      </c>
      <c r="B10" s="265"/>
      <c r="C10" s="97" t="s">
        <v>2</v>
      </c>
      <c r="D10" s="221" t="s">
        <v>3</v>
      </c>
      <c r="E10" s="98" t="s">
        <v>4</v>
      </c>
      <c r="F10" s="266" t="s">
        <v>5</v>
      </c>
      <c r="G10" s="267"/>
      <c r="H10" s="266" t="s">
        <v>6</v>
      </c>
      <c r="I10" s="267"/>
      <c r="J10" s="201"/>
      <c r="K10" s="62"/>
      <c r="L10" s="62"/>
      <c r="M10" s="62"/>
      <c r="N10" s="62"/>
      <c r="O10" s="62"/>
      <c r="P10" s="62"/>
      <c r="Q10" s="62"/>
      <c r="R10" s="62"/>
      <c r="S10" s="10"/>
      <c r="T10" s="10"/>
      <c r="U10" s="10"/>
      <c r="V10" s="10"/>
      <c r="W10" s="10"/>
      <c r="X10" s="10"/>
      <c r="Y10" s="10"/>
      <c r="Z10" s="10"/>
      <c r="AA10" s="10"/>
      <c r="AB10" s="10"/>
      <c r="AC10" s="10"/>
      <c r="AD10" s="10"/>
      <c r="AE10" s="10"/>
      <c r="AF10" s="10"/>
      <c r="AG10" s="10"/>
      <c r="AH10" s="10"/>
      <c r="AI10" s="10"/>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row>
    <row r="11" spans="1:111" ht="2.25" customHeight="1" thickTop="1" x14ac:dyDescent="0.2">
      <c r="A11" s="12"/>
      <c r="B11" s="12"/>
      <c r="C11" s="6"/>
      <c r="F11" s="9"/>
      <c r="G11" s="153"/>
      <c r="H11" s="13"/>
      <c r="I11" s="175"/>
    </row>
    <row r="12" spans="1:111" ht="15.95" customHeight="1" x14ac:dyDescent="0.2">
      <c r="A12" s="260" t="s">
        <v>7</v>
      </c>
      <c r="B12" s="261"/>
      <c r="C12" s="261"/>
      <c r="D12" s="261"/>
      <c r="E12" s="261"/>
      <c r="F12" s="261"/>
      <c r="G12" s="261"/>
      <c r="H12" s="261"/>
      <c r="I12" s="262"/>
    </row>
    <row r="13" spans="1:111" s="147" customFormat="1" ht="3.75" customHeight="1" x14ac:dyDescent="0.2">
      <c r="A13" s="145"/>
      <c r="B13" s="145"/>
      <c r="C13" s="145"/>
      <c r="D13" s="222"/>
      <c r="E13" s="145"/>
      <c r="F13" s="145"/>
      <c r="G13" s="154"/>
      <c r="H13" s="145"/>
      <c r="I13" s="154"/>
      <c r="J13" s="202"/>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row>
    <row r="14" spans="1:111" ht="19.5" customHeight="1" x14ac:dyDescent="0.2">
      <c r="A14" s="248" t="s">
        <v>8</v>
      </c>
      <c r="B14" s="249"/>
      <c r="C14" s="249"/>
      <c r="D14" s="249"/>
      <c r="E14" s="249"/>
      <c r="F14" s="249"/>
      <c r="G14" s="249"/>
      <c r="H14" s="249"/>
      <c r="I14" s="250"/>
    </row>
    <row r="15" spans="1:111" ht="15.95" customHeight="1" x14ac:dyDescent="0.2">
      <c r="A15" s="257">
        <v>1991</v>
      </c>
      <c r="B15" s="258"/>
      <c r="C15" s="258"/>
      <c r="D15" s="258"/>
      <c r="E15" s="258"/>
      <c r="F15" s="258"/>
      <c r="G15" s="258"/>
      <c r="H15" s="258"/>
      <c r="I15" s="259"/>
    </row>
    <row r="16" spans="1:111" ht="15.95" customHeight="1" x14ac:dyDescent="0.2">
      <c r="A16" s="99">
        <v>1</v>
      </c>
      <c r="B16" s="100">
        <v>1</v>
      </c>
      <c r="C16" s="103" t="s">
        <v>9</v>
      </c>
      <c r="D16" s="223" t="s">
        <v>10</v>
      </c>
      <c r="E16" s="103" t="s">
        <v>11</v>
      </c>
      <c r="F16" s="105">
        <v>1083140</v>
      </c>
      <c r="G16" s="155"/>
      <c r="H16" s="105"/>
      <c r="I16" s="176"/>
      <c r="J16" s="74">
        <f>+F16</f>
        <v>1083140</v>
      </c>
    </row>
    <row r="17" spans="1:35" ht="15.95" customHeight="1" x14ac:dyDescent="0.2">
      <c r="A17" s="101">
        <f>A16+1</f>
        <v>2</v>
      </c>
      <c r="B17" s="102">
        <v>2</v>
      </c>
      <c r="C17" s="104" t="s">
        <v>12</v>
      </c>
      <c r="D17" s="224" t="s">
        <v>13</v>
      </c>
      <c r="E17" s="104" t="s">
        <v>14</v>
      </c>
      <c r="F17" s="106">
        <v>1510707</v>
      </c>
      <c r="G17" s="156"/>
      <c r="H17" s="107"/>
      <c r="I17" s="177"/>
      <c r="J17" s="74">
        <f>+F17</f>
        <v>1510707</v>
      </c>
    </row>
    <row r="18" spans="1:35" ht="15.95" customHeight="1" x14ac:dyDescent="0.2">
      <c r="A18" s="16" t="s">
        <v>15</v>
      </c>
      <c r="B18" s="3"/>
      <c r="C18" s="2"/>
      <c r="D18" s="225"/>
      <c r="E18" s="68"/>
      <c r="F18" s="108">
        <f>SUM(F16:F17)</f>
        <v>2593847</v>
      </c>
      <c r="G18" s="157"/>
      <c r="H18" s="109"/>
      <c r="I18" s="178"/>
      <c r="J18" s="74"/>
    </row>
    <row r="19" spans="1:35" ht="5.25" customHeight="1" x14ac:dyDescent="0.2">
      <c r="A19" s="14"/>
      <c r="B19" s="14"/>
      <c r="C19" s="64"/>
      <c r="D19" s="226"/>
      <c r="E19" s="65"/>
      <c r="F19" s="15"/>
      <c r="G19" s="158"/>
      <c r="H19" s="18"/>
      <c r="I19" s="175"/>
      <c r="J19" s="74">
        <f t="shared" ref="J19:J31" si="0">+F19</f>
        <v>0</v>
      </c>
    </row>
    <row r="20" spans="1:35" ht="15.95" customHeight="1" x14ac:dyDescent="0.2">
      <c r="A20" s="248" t="s">
        <v>16</v>
      </c>
      <c r="B20" s="249"/>
      <c r="C20" s="249"/>
      <c r="D20" s="249"/>
      <c r="E20" s="249"/>
      <c r="F20" s="249"/>
      <c r="G20" s="249"/>
      <c r="H20" s="249"/>
      <c r="I20" s="250"/>
      <c r="J20" s="74">
        <f t="shared" si="0"/>
        <v>0</v>
      </c>
    </row>
    <row r="21" spans="1:35" ht="15.95" customHeight="1" x14ac:dyDescent="0.2">
      <c r="A21" s="257">
        <v>1992</v>
      </c>
      <c r="B21" s="258"/>
      <c r="C21" s="258"/>
      <c r="D21" s="258"/>
      <c r="E21" s="258"/>
      <c r="F21" s="258"/>
      <c r="G21" s="258"/>
      <c r="H21" s="258"/>
      <c r="I21" s="259"/>
      <c r="J21" s="74">
        <f t="shared" si="0"/>
        <v>0</v>
      </c>
    </row>
    <row r="22" spans="1:35" ht="15.95" customHeight="1" x14ac:dyDescent="0.2">
      <c r="A22" s="110">
        <f>+A17+1</f>
        <v>3</v>
      </c>
      <c r="B22" s="100">
        <v>1</v>
      </c>
      <c r="C22" s="103" t="s">
        <v>17</v>
      </c>
      <c r="D22" s="223" t="s">
        <v>18</v>
      </c>
      <c r="E22" s="103" t="s">
        <v>14</v>
      </c>
      <c r="F22" s="117">
        <v>1291101</v>
      </c>
      <c r="G22" s="159"/>
      <c r="H22" s="105"/>
      <c r="I22" s="176"/>
      <c r="J22" s="74">
        <f t="shared" si="0"/>
        <v>1291101</v>
      </c>
    </row>
    <row r="23" spans="1:35" ht="15.95" customHeight="1" x14ac:dyDescent="0.2">
      <c r="A23" s="111">
        <f>A22+1</f>
        <v>4</v>
      </c>
      <c r="B23" s="112">
        <f t="shared" ref="B23:B31" si="1">B22+1</f>
        <v>2</v>
      </c>
      <c r="C23" s="116" t="s">
        <v>19</v>
      </c>
      <c r="D23" s="227" t="s">
        <v>20</v>
      </c>
      <c r="E23" s="116" t="s">
        <v>11</v>
      </c>
      <c r="F23" s="118">
        <v>5365553</v>
      </c>
      <c r="G23" s="160"/>
      <c r="H23" s="120"/>
      <c r="I23" s="179"/>
      <c r="J23" s="74">
        <f t="shared" si="0"/>
        <v>5365553</v>
      </c>
      <c r="K23" s="17">
        <f t="shared" ref="K23:K30" si="2">+H23</f>
        <v>0</v>
      </c>
    </row>
    <row r="24" spans="1:35" ht="15.95" customHeight="1" x14ac:dyDescent="0.2">
      <c r="A24" s="113">
        <f t="shared" ref="A24:A31" si="3">A23+1</f>
        <v>5</v>
      </c>
      <c r="B24" s="112">
        <f t="shared" si="1"/>
        <v>3</v>
      </c>
      <c r="C24" s="116" t="s">
        <v>21</v>
      </c>
      <c r="D24" s="227" t="s">
        <v>22</v>
      </c>
      <c r="E24" s="116" t="s">
        <v>23</v>
      </c>
      <c r="F24" s="119">
        <f>26488036+11160406+1135934.3</f>
        <v>38784376.299999997</v>
      </c>
      <c r="G24" s="161"/>
      <c r="H24" s="120"/>
      <c r="I24" s="179"/>
      <c r="J24" s="74">
        <f t="shared" si="0"/>
        <v>38784376.299999997</v>
      </c>
      <c r="K24" s="17">
        <f t="shared" si="2"/>
        <v>0</v>
      </c>
    </row>
    <row r="25" spans="1:35" ht="15.95" customHeight="1" x14ac:dyDescent="0.2">
      <c r="A25" s="111">
        <f t="shared" si="3"/>
        <v>6</v>
      </c>
      <c r="B25" s="112">
        <f t="shared" si="1"/>
        <v>4</v>
      </c>
      <c r="C25" s="116" t="s">
        <v>24</v>
      </c>
      <c r="D25" s="227" t="s">
        <v>25</v>
      </c>
      <c r="E25" s="116" t="s">
        <v>26</v>
      </c>
      <c r="F25" s="118">
        <v>806896</v>
      </c>
      <c r="G25" s="160"/>
      <c r="H25" s="120">
        <v>2000000</v>
      </c>
      <c r="I25" s="179"/>
      <c r="J25" s="74">
        <f t="shared" si="0"/>
        <v>806896</v>
      </c>
      <c r="K25" s="17">
        <f t="shared" si="2"/>
        <v>2000000</v>
      </c>
    </row>
    <row r="26" spans="1:35" ht="15.95" customHeight="1" x14ac:dyDescent="0.2">
      <c r="A26" s="111">
        <f t="shared" si="3"/>
        <v>7</v>
      </c>
      <c r="B26" s="112">
        <f t="shared" si="1"/>
        <v>5</v>
      </c>
      <c r="C26" s="116" t="s">
        <v>27</v>
      </c>
      <c r="D26" s="227" t="s">
        <v>28</v>
      </c>
      <c r="E26" s="116" t="s">
        <v>29</v>
      </c>
      <c r="F26" s="118">
        <v>6564611</v>
      </c>
      <c r="G26" s="160"/>
      <c r="H26" s="120"/>
      <c r="I26" s="179"/>
      <c r="J26" s="74">
        <f t="shared" si="0"/>
        <v>6564611</v>
      </c>
      <c r="K26" s="17">
        <f t="shared" si="2"/>
        <v>0</v>
      </c>
    </row>
    <row r="27" spans="1:35" ht="15.95" customHeight="1" x14ac:dyDescent="0.2">
      <c r="A27" s="111">
        <f t="shared" si="3"/>
        <v>8</v>
      </c>
      <c r="B27" s="112">
        <f t="shared" si="1"/>
        <v>6</v>
      </c>
      <c r="C27" s="116" t="s">
        <v>30</v>
      </c>
      <c r="D27" s="227" t="s">
        <v>31</v>
      </c>
      <c r="E27" s="116" t="s">
        <v>32</v>
      </c>
      <c r="F27" s="118">
        <v>11066486</v>
      </c>
      <c r="G27" s="160"/>
      <c r="H27" s="120"/>
      <c r="I27" s="179"/>
      <c r="J27" s="74">
        <f t="shared" si="0"/>
        <v>11066486</v>
      </c>
      <c r="K27" s="17"/>
    </row>
    <row r="28" spans="1:35" ht="15.95" customHeight="1" x14ac:dyDescent="0.2">
      <c r="A28" s="111">
        <f t="shared" si="3"/>
        <v>9</v>
      </c>
      <c r="B28" s="112">
        <f t="shared" si="1"/>
        <v>7</v>
      </c>
      <c r="C28" s="116" t="s">
        <v>33</v>
      </c>
      <c r="D28" s="227" t="s">
        <v>34</v>
      </c>
      <c r="E28" s="116" t="s">
        <v>23</v>
      </c>
      <c r="F28" s="118">
        <v>7546655</v>
      </c>
      <c r="G28" s="160"/>
      <c r="H28" s="120">
        <v>5000000</v>
      </c>
      <c r="I28" s="179"/>
      <c r="J28" s="74">
        <f t="shared" si="0"/>
        <v>7546655</v>
      </c>
      <c r="K28" s="17">
        <f t="shared" si="2"/>
        <v>5000000</v>
      </c>
    </row>
    <row r="29" spans="1:35" ht="15.95" customHeight="1" x14ac:dyDescent="0.2">
      <c r="A29" s="111">
        <f t="shared" si="3"/>
        <v>10</v>
      </c>
      <c r="B29" s="112">
        <f t="shared" si="1"/>
        <v>8</v>
      </c>
      <c r="C29" s="116" t="s">
        <v>35</v>
      </c>
      <c r="D29" s="227" t="s">
        <v>36</v>
      </c>
      <c r="E29" s="116" t="s">
        <v>37</v>
      </c>
      <c r="F29" s="118">
        <v>4100000</v>
      </c>
      <c r="G29" s="160"/>
      <c r="H29" s="120"/>
      <c r="I29" s="179"/>
      <c r="J29" s="74">
        <f t="shared" si="0"/>
        <v>4100000</v>
      </c>
      <c r="K29" s="17">
        <f t="shared" si="2"/>
        <v>0</v>
      </c>
    </row>
    <row r="30" spans="1:35" ht="15.95" customHeight="1" x14ac:dyDescent="0.2">
      <c r="A30" s="114">
        <f t="shared" si="3"/>
        <v>11</v>
      </c>
      <c r="B30" s="112">
        <f t="shared" si="1"/>
        <v>9</v>
      </c>
      <c r="C30" s="116" t="s">
        <v>38</v>
      </c>
      <c r="D30" s="227" t="s">
        <v>39</v>
      </c>
      <c r="E30" s="116" t="s">
        <v>14</v>
      </c>
      <c r="F30" s="118">
        <v>120000000</v>
      </c>
      <c r="G30" s="160"/>
      <c r="H30" s="120">
        <v>137000000</v>
      </c>
      <c r="I30" s="180" t="s">
        <v>40</v>
      </c>
      <c r="J30" s="74">
        <f t="shared" si="0"/>
        <v>120000000</v>
      </c>
      <c r="K30" s="17">
        <f t="shared" si="2"/>
        <v>137000000</v>
      </c>
    </row>
    <row r="31" spans="1:35" ht="15.95" customHeight="1" x14ac:dyDescent="0.2">
      <c r="A31" s="115">
        <f t="shared" si="3"/>
        <v>12</v>
      </c>
      <c r="B31" s="102">
        <f t="shared" si="1"/>
        <v>10</v>
      </c>
      <c r="C31" s="104" t="s">
        <v>41</v>
      </c>
      <c r="D31" s="224" t="s">
        <v>42</v>
      </c>
      <c r="E31" s="104" t="s">
        <v>14</v>
      </c>
      <c r="F31" s="106">
        <v>12000000</v>
      </c>
      <c r="G31" s="156"/>
      <c r="H31" s="107">
        <v>562000000</v>
      </c>
      <c r="I31" s="181"/>
      <c r="J31" s="74">
        <f t="shared" si="0"/>
        <v>12000000</v>
      </c>
      <c r="K31" s="17"/>
    </row>
    <row r="32" spans="1:35" s="21" customFormat="1" ht="15.95" customHeight="1" x14ac:dyDescent="0.2">
      <c r="A32" s="16" t="s">
        <v>43</v>
      </c>
      <c r="B32" s="3"/>
      <c r="C32" s="2"/>
      <c r="D32" s="225"/>
      <c r="E32" s="2"/>
      <c r="F32" s="108">
        <f>SUM(F22:F31)</f>
        <v>207525678.30000001</v>
      </c>
      <c r="G32" s="157"/>
      <c r="H32" s="109">
        <f>SUM(H22:H31)</f>
        <v>706000000</v>
      </c>
      <c r="I32" s="178"/>
      <c r="J32" s="203"/>
      <c r="K32" s="19"/>
      <c r="L32" s="19"/>
      <c r="M32" s="19"/>
      <c r="N32" s="19"/>
      <c r="O32" s="19"/>
      <c r="P32" s="19"/>
      <c r="Q32" s="19"/>
      <c r="R32" s="19"/>
      <c r="S32" s="20"/>
      <c r="T32" s="20"/>
      <c r="U32" s="20"/>
      <c r="V32" s="20"/>
      <c r="W32" s="20"/>
      <c r="X32" s="20"/>
      <c r="Y32" s="20"/>
      <c r="Z32" s="20"/>
      <c r="AA32" s="20"/>
      <c r="AB32" s="20"/>
      <c r="AC32" s="20"/>
      <c r="AD32" s="20"/>
      <c r="AE32" s="20"/>
      <c r="AF32" s="20"/>
      <c r="AG32" s="20"/>
      <c r="AH32" s="20"/>
      <c r="AI32" s="20"/>
    </row>
    <row r="33" spans="1:11" ht="15.95" customHeight="1" x14ac:dyDescent="0.2">
      <c r="A33" s="257">
        <v>1993</v>
      </c>
      <c r="B33" s="258"/>
      <c r="C33" s="258"/>
      <c r="D33" s="258"/>
      <c r="E33" s="258"/>
      <c r="F33" s="258"/>
      <c r="G33" s="258"/>
      <c r="H33" s="258"/>
      <c r="I33" s="259"/>
    </row>
    <row r="34" spans="1:11" ht="15.95" customHeight="1" x14ac:dyDescent="0.2">
      <c r="A34" s="121">
        <f>A31+1</f>
        <v>13</v>
      </c>
      <c r="B34" s="122">
        <v>1</v>
      </c>
      <c r="C34" s="103" t="s">
        <v>44</v>
      </c>
      <c r="D34" s="223" t="s">
        <v>45</v>
      </c>
      <c r="E34" s="103" t="s">
        <v>32</v>
      </c>
      <c r="F34" s="117">
        <v>25414029</v>
      </c>
      <c r="G34" s="159"/>
      <c r="H34" s="105">
        <v>30000000</v>
      </c>
      <c r="I34" s="176"/>
      <c r="J34" s="74">
        <f t="shared" ref="J34:J46" si="4">+F34</f>
        <v>25414029</v>
      </c>
      <c r="K34" s="17"/>
    </row>
    <row r="35" spans="1:11" ht="15.95" customHeight="1" x14ac:dyDescent="0.2">
      <c r="A35" s="111">
        <f t="shared" ref="A35:A46" si="5">A34+1</f>
        <v>14</v>
      </c>
      <c r="B35" s="123">
        <f t="shared" ref="B35:B46" si="6">B34+1</f>
        <v>2</v>
      </c>
      <c r="C35" s="116" t="s">
        <v>46</v>
      </c>
      <c r="D35" s="227" t="s">
        <v>47</v>
      </c>
      <c r="E35" s="116" t="s">
        <v>29</v>
      </c>
      <c r="F35" s="118">
        <v>2931313</v>
      </c>
      <c r="G35" s="160"/>
      <c r="H35" s="120"/>
      <c r="I35" s="179"/>
      <c r="J35" s="74">
        <f t="shared" si="4"/>
        <v>2931313</v>
      </c>
      <c r="K35" s="17">
        <f t="shared" ref="K35:K46" si="7">+H35</f>
        <v>0</v>
      </c>
    </row>
    <row r="36" spans="1:11" ht="15.95" customHeight="1" x14ac:dyDescent="0.2">
      <c r="A36" s="111">
        <f t="shared" si="5"/>
        <v>15</v>
      </c>
      <c r="B36" s="123">
        <f t="shared" si="6"/>
        <v>3</v>
      </c>
      <c r="C36" s="116" t="s">
        <v>48</v>
      </c>
      <c r="D36" s="227" t="s">
        <v>49</v>
      </c>
      <c r="E36" s="116" t="s">
        <v>23</v>
      </c>
      <c r="F36" s="118">
        <v>200000000</v>
      </c>
      <c r="G36" s="160"/>
      <c r="H36" s="120">
        <v>65000000</v>
      </c>
      <c r="I36" s="179"/>
      <c r="J36" s="74">
        <f t="shared" si="4"/>
        <v>200000000</v>
      </c>
      <c r="K36" s="17">
        <f t="shared" si="7"/>
        <v>65000000</v>
      </c>
    </row>
    <row r="37" spans="1:11" ht="15.95" customHeight="1" x14ac:dyDescent="0.2">
      <c r="A37" s="111">
        <f t="shared" si="5"/>
        <v>16</v>
      </c>
      <c r="B37" s="123">
        <f t="shared" si="6"/>
        <v>4</v>
      </c>
      <c r="C37" s="116" t="s">
        <v>50</v>
      </c>
      <c r="D37" s="227" t="s">
        <v>51</v>
      </c>
      <c r="E37" s="116" t="s">
        <v>52</v>
      </c>
      <c r="F37" s="118">
        <v>1002000</v>
      </c>
      <c r="G37" s="160"/>
      <c r="H37" s="120"/>
      <c r="I37" s="179"/>
      <c r="J37" s="74">
        <f t="shared" si="4"/>
        <v>1002000</v>
      </c>
      <c r="K37" s="17">
        <f t="shared" si="7"/>
        <v>0</v>
      </c>
    </row>
    <row r="38" spans="1:11" ht="15.95" customHeight="1" x14ac:dyDescent="0.2">
      <c r="A38" s="111">
        <f t="shared" si="5"/>
        <v>17</v>
      </c>
      <c r="B38" s="123">
        <f t="shared" si="6"/>
        <v>5</v>
      </c>
      <c r="C38" s="116" t="s">
        <v>53</v>
      </c>
      <c r="D38" s="227" t="s">
        <v>54</v>
      </c>
      <c r="E38" s="116" t="s">
        <v>55</v>
      </c>
      <c r="F38" s="118">
        <v>14663059</v>
      </c>
      <c r="G38" s="160"/>
      <c r="H38" s="120"/>
      <c r="I38" s="179"/>
      <c r="J38" s="74">
        <f t="shared" si="4"/>
        <v>14663059</v>
      </c>
      <c r="K38" s="17">
        <f t="shared" si="7"/>
        <v>0</v>
      </c>
    </row>
    <row r="39" spans="1:11" ht="15.95" customHeight="1" x14ac:dyDescent="0.2">
      <c r="A39" s="111">
        <f t="shared" si="5"/>
        <v>18</v>
      </c>
      <c r="B39" s="123">
        <f t="shared" si="6"/>
        <v>6</v>
      </c>
      <c r="C39" s="116" t="s">
        <v>56</v>
      </c>
      <c r="D39" s="227" t="s">
        <v>57</v>
      </c>
      <c r="E39" s="116" t="s">
        <v>32</v>
      </c>
      <c r="F39" s="118">
        <v>248775</v>
      </c>
      <c r="G39" s="160"/>
      <c r="H39" s="120"/>
      <c r="I39" s="179"/>
      <c r="J39" s="74">
        <f t="shared" si="4"/>
        <v>248775</v>
      </c>
      <c r="K39" s="17">
        <f t="shared" si="7"/>
        <v>0</v>
      </c>
    </row>
    <row r="40" spans="1:11" ht="15.95" customHeight="1" x14ac:dyDescent="0.2">
      <c r="A40" s="111">
        <f t="shared" si="5"/>
        <v>19</v>
      </c>
      <c r="B40" s="123">
        <f t="shared" si="6"/>
        <v>7</v>
      </c>
      <c r="C40" s="116" t="s">
        <v>58</v>
      </c>
      <c r="D40" s="227" t="s">
        <v>59</v>
      </c>
      <c r="E40" s="116" t="s">
        <v>32</v>
      </c>
      <c r="F40" s="118">
        <v>225498</v>
      </c>
      <c r="G40" s="160"/>
      <c r="H40" s="120"/>
      <c r="I40" s="179"/>
      <c r="J40" s="74">
        <f t="shared" si="4"/>
        <v>225498</v>
      </c>
      <c r="K40" s="17">
        <f t="shared" si="7"/>
        <v>0</v>
      </c>
    </row>
    <row r="41" spans="1:11" ht="15.95" customHeight="1" x14ac:dyDescent="0.2">
      <c r="A41" s="111">
        <f t="shared" si="5"/>
        <v>20</v>
      </c>
      <c r="B41" s="123">
        <f t="shared" si="6"/>
        <v>8</v>
      </c>
      <c r="C41" s="116" t="s">
        <v>60</v>
      </c>
      <c r="D41" s="227" t="s">
        <v>61</v>
      </c>
      <c r="E41" s="116" t="s">
        <v>11</v>
      </c>
      <c r="F41" s="118">
        <v>6150000</v>
      </c>
      <c r="G41" s="160"/>
      <c r="H41" s="120"/>
      <c r="I41" s="179"/>
      <c r="J41" s="74">
        <f t="shared" si="4"/>
        <v>6150000</v>
      </c>
      <c r="K41" s="17">
        <f t="shared" si="7"/>
        <v>0</v>
      </c>
    </row>
    <row r="42" spans="1:11" ht="15.95" customHeight="1" x14ac:dyDescent="0.2">
      <c r="A42" s="111">
        <f t="shared" si="5"/>
        <v>21</v>
      </c>
      <c r="B42" s="123">
        <f t="shared" si="6"/>
        <v>9</v>
      </c>
      <c r="C42" s="116" t="s">
        <v>62</v>
      </c>
      <c r="D42" s="227" t="s">
        <v>63</v>
      </c>
      <c r="E42" s="116" t="s">
        <v>32</v>
      </c>
      <c r="F42" s="118">
        <v>25246250</v>
      </c>
      <c r="G42" s="160"/>
      <c r="H42" s="120"/>
      <c r="I42" s="179"/>
      <c r="J42" s="74">
        <f t="shared" si="4"/>
        <v>25246250</v>
      </c>
      <c r="K42" s="17">
        <f t="shared" si="7"/>
        <v>0</v>
      </c>
    </row>
    <row r="43" spans="1:11" ht="15.95" customHeight="1" x14ac:dyDescent="0.2">
      <c r="A43" s="111">
        <f t="shared" si="5"/>
        <v>22</v>
      </c>
      <c r="B43" s="123">
        <f t="shared" si="6"/>
        <v>10</v>
      </c>
      <c r="C43" s="116" t="s">
        <v>64</v>
      </c>
      <c r="D43" s="227" t="s">
        <v>65</v>
      </c>
      <c r="E43" s="116" t="s">
        <v>14</v>
      </c>
      <c r="F43" s="118">
        <v>35446690</v>
      </c>
      <c r="G43" s="160"/>
      <c r="H43" s="120">
        <v>485300000</v>
      </c>
      <c r="I43" s="180" t="s">
        <v>40</v>
      </c>
      <c r="J43" s="74">
        <f t="shared" si="4"/>
        <v>35446690</v>
      </c>
      <c r="K43" s="17">
        <f t="shared" si="7"/>
        <v>485300000</v>
      </c>
    </row>
    <row r="44" spans="1:11" ht="15.95" customHeight="1" x14ac:dyDescent="0.2">
      <c r="A44" s="111">
        <f t="shared" si="5"/>
        <v>23</v>
      </c>
      <c r="B44" s="123">
        <f t="shared" si="6"/>
        <v>11</v>
      </c>
      <c r="C44" s="116" t="s">
        <v>66</v>
      </c>
      <c r="D44" s="227" t="s">
        <v>67</v>
      </c>
      <c r="E44" s="116" t="s">
        <v>68</v>
      </c>
      <c r="F44" s="118">
        <v>1900000</v>
      </c>
      <c r="G44" s="160"/>
      <c r="H44" s="120"/>
      <c r="I44" s="179"/>
      <c r="J44" s="74">
        <f t="shared" si="4"/>
        <v>1900000</v>
      </c>
      <c r="K44" s="17">
        <f t="shared" si="7"/>
        <v>0</v>
      </c>
    </row>
    <row r="45" spans="1:11" ht="15.95" customHeight="1" x14ac:dyDescent="0.2">
      <c r="A45" s="111">
        <f t="shared" si="5"/>
        <v>24</v>
      </c>
      <c r="B45" s="123">
        <f t="shared" si="6"/>
        <v>12</v>
      </c>
      <c r="C45" s="116" t="s">
        <v>69</v>
      </c>
      <c r="D45" s="227" t="s">
        <v>70</v>
      </c>
      <c r="E45" s="116" t="s">
        <v>68</v>
      </c>
      <c r="F45" s="118">
        <v>2700000</v>
      </c>
      <c r="G45" s="160"/>
      <c r="H45" s="120">
        <v>3500000</v>
      </c>
      <c r="I45" s="179"/>
      <c r="J45" s="74">
        <f t="shared" si="4"/>
        <v>2700000</v>
      </c>
      <c r="K45" s="17">
        <f t="shared" si="7"/>
        <v>3500000</v>
      </c>
    </row>
    <row r="46" spans="1:11" ht="15.95" customHeight="1" x14ac:dyDescent="0.2">
      <c r="A46" s="124">
        <f t="shared" si="5"/>
        <v>25</v>
      </c>
      <c r="B46" s="125">
        <f t="shared" si="6"/>
        <v>13</v>
      </c>
      <c r="C46" s="104" t="s">
        <v>71</v>
      </c>
      <c r="D46" s="224" t="s">
        <v>72</v>
      </c>
      <c r="E46" s="104" t="s">
        <v>73</v>
      </c>
      <c r="F46" s="106">
        <v>777000</v>
      </c>
      <c r="G46" s="156"/>
      <c r="H46" s="107"/>
      <c r="I46" s="177"/>
      <c r="J46" s="74">
        <f t="shared" si="4"/>
        <v>777000</v>
      </c>
      <c r="K46" s="17">
        <f t="shared" si="7"/>
        <v>0</v>
      </c>
    </row>
    <row r="47" spans="1:11" ht="15.95" customHeight="1" x14ac:dyDescent="0.2">
      <c r="A47" s="126" t="s">
        <v>74</v>
      </c>
      <c r="B47" s="48"/>
      <c r="C47" s="68"/>
      <c r="D47" s="228"/>
      <c r="E47" s="68"/>
      <c r="F47" s="108">
        <f>SUM(F34:F46)</f>
        <v>316704614</v>
      </c>
      <c r="G47" s="157"/>
      <c r="H47" s="109">
        <f>SUM(H34:H46)</f>
        <v>583800000</v>
      </c>
      <c r="I47" s="178"/>
      <c r="J47" s="74"/>
      <c r="K47" s="17"/>
    </row>
    <row r="48" spans="1:11" ht="15.95" customHeight="1" x14ac:dyDescent="0.2">
      <c r="A48" s="257">
        <v>1994</v>
      </c>
      <c r="B48" s="258"/>
      <c r="C48" s="258"/>
      <c r="D48" s="258"/>
      <c r="E48" s="258"/>
      <c r="F48" s="258"/>
      <c r="G48" s="258"/>
      <c r="H48" s="258"/>
      <c r="I48" s="259"/>
      <c r="J48" s="74">
        <f t="shared" ref="J48:J71" si="8">+F48</f>
        <v>0</v>
      </c>
      <c r="K48" s="17">
        <f t="shared" ref="K48:K71" si="9">+H48</f>
        <v>0</v>
      </c>
    </row>
    <row r="49" spans="1:11" ht="15.95" customHeight="1" x14ac:dyDescent="0.2">
      <c r="A49" s="99">
        <f>A46+1</f>
        <v>26</v>
      </c>
      <c r="B49" s="100">
        <v>1</v>
      </c>
      <c r="C49" s="103" t="s">
        <v>75</v>
      </c>
      <c r="D49" s="223" t="s">
        <v>76</v>
      </c>
      <c r="E49" s="103" t="s">
        <v>68</v>
      </c>
      <c r="F49" s="117">
        <v>6500000</v>
      </c>
      <c r="G49" s="159"/>
      <c r="H49" s="105">
        <v>2000000</v>
      </c>
      <c r="I49" s="176"/>
      <c r="J49" s="74">
        <f t="shared" si="8"/>
        <v>6500000</v>
      </c>
      <c r="K49" s="17">
        <f t="shared" si="9"/>
        <v>2000000</v>
      </c>
    </row>
    <row r="50" spans="1:11" ht="15.95" customHeight="1" x14ac:dyDescent="0.2">
      <c r="A50" s="127">
        <f t="shared" ref="A50:A71" si="10">A49+1</f>
        <v>27</v>
      </c>
      <c r="B50" s="112">
        <f t="shared" ref="B50:B71" si="11">B49+1</f>
        <v>2</v>
      </c>
      <c r="C50" s="116" t="s">
        <v>77</v>
      </c>
      <c r="D50" s="227" t="s">
        <v>78</v>
      </c>
      <c r="E50" s="116" t="s">
        <v>68</v>
      </c>
      <c r="F50" s="118">
        <v>67100121</v>
      </c>
      <c r="G50" s="160"/>
      <c r="H50" s="120">
        <v>5000000</v>
      </c>
      <c r="I50" s="179"/>
      <c r="J50" s="74">
        <f t="shared" si="8"/>
        <v>67100121</v>
      </c>
      <c r="K50" s="17">
        <f t="shared" si="9"/>
        <v>5000000</v>
      </c>
    </row>
    <row r="51" spans="1:11" ht="15.95" customHeight="1" x14ac:dyDescent="0.2">
      <c r="A51" s="127">
        <f t="shared" si="10"/>
        <v>28</v>
      </c>
      <c r="B51" s="112">
        <f t="shared" si="11"/>
        <v>3</v>
      </c>
      <c r="C51" s="116" t="s">
        <v>79</v>
      </c>
      <c r="D51" s="227" t="s">
        <v>80</v>
      </c>
      <c r="E51" s="116" t="s">
        <v>81</v>
      </c>
      <c r="F51" s="118">
        <v>1601016</v>
      </c>
      <c r="G51" s="160"/>
      <c r="H51" s="120"/>
      <c r="I51" s="179"/>
      <c r="J51" s="74">
        <f t="shared" si="8"/>
        <v>1601016</v>
      </c>
      <c r="K51" s="17">
        <f t="shared" si="9"/>
        <v>0</v>
      </c>
    </row>
    <row r="52" spans="1:11" ht="15.95" customHeight="1" x14ac:dyDescent="0.2">
      <c r="A52" s="127">
        <f t="shared" si="10"/>
        <v>29</v>
      </c>
      <c r="B52" s="112">
        <f t="shared" si="11"/>
        <v>4</v>
      </c>
      <c r="C52" s="116" t="s">
        <v>82</v>
      </c>
      <c r="D52" s="227" t="s">
        <v>83</v>
      </c>
      <c r="E52" s="116" t="s">
        <v>84</v>
      </c>
      <c r="F52" s="118">
        <v>1391426909</v>
      </c>
      <c r="G52" s="160"/>
      <c r="H52" s="120">
        <f>2176000000-610752289</f>
        <v>1565247711</v>
      </c>
      <c r="I52" s="180" t="s">
        <v>85</v>
      </c>
      <c r="J52" s="74">
        <f t="shared" si="8"/>
        <v>1391426909</v>
      </c>
      <c r="K52" s="17">
        <f t="shared" si="9"/>
        <v>1565247711</v>
      </c>
    </row>
    <row r="53" spans="1:11" ht="15.95" customHeight="1" x14ac:dyDescent="0.2">
      <c r="A53" s="127">
        <f t="shared" si="10"/>
        <v>30</v>
      </c>
      <c r="B53" s="112">
        <f t="shared" si="11"/>
        <v>5</v>
      </c>
      <c r="C53" s="116" t="s">
        <v>86</v>
      </c>
      <c r="D53" s="227" t="s">
        <v>87</v>
      </c>
      <c r="E53" s="116" t="s">
        <v>68</v>
      </c>
      <c r="F53" s="118">
        <v>1254764</v>
      </c>
      <c r="G53" s="160"/>
      <c r="H53" s="120"/>
      <c r="I53" s="179"/>
      <c r="J53" s="74">
        <f t="shared" si="8"/>
        <v>1254764</v>
      </c>
      <c r="K53" s="17">
        <f t="shared" si="9"/>
        <v>0</v>
      </c>
    </row>
    <row r="54" spans="1:11" ht="15.95" customHeight="1" x14ac:dyDescent="0.2">
      <c r="A54" s="127">
        <f t="shared" si="10"/>
        <v>31</v>
      </c>
      <c r="B54" s="112">
        <f t="shared" si="11"/>
        <v>6</v>
      </c>
      <c r="C54" s="128" t="s">
        <v>88</v>
      </c>
      <c r="D54" s="227" t="s">
        <v>89</v>
      </c>
      <c r="E54" s="116" t="s">
        <v>90</v>
      </c>
      <c r="F54" s="118">
        <v>2498373</v>
      </c>
      <c r="G54" s="160"/>
      <c r="H54" s="120"/>
      <c r="I54" s="179"/>
      <c r="J54" s="74">
        <f t="shared" si="8"/>
        <v>2498373</v>
      </c>
      <c r="K54" s="17">
        <f t="shared" si="9"/>
        <v>0</v>
      </c>
    </row>
    <row r="55" spans="1:11" ht="15.95" customHeight="1" x14ac:dyDescent="0.2">
      <c r="A55" s="127">
        <f t="shared" si="10"/>
        <v>32</v>
      </c>
      <c r="B55" s="112">
        <f t="shared" si="11"/>
        <v>7</v>
      </c>
      <c r="C55" s="116" t="s">
        <v>91</v>
      </c>
      <c r="D55" s="227" t="s">
        <v>92</v>
      </c>
      <c r="E55" s="116" t="s">
        <v>14</v>
      </c>
      <c r="F55" s="118">
        <v>66626249</v>
      </c>
      <c r="G55" s="160"/>
      <c r="H55" s="120">
        <v>20200000</v>
      </c>
      <c r="I55" s="180" t="s">
        <v>40</v>
      </c>
      <c r="J55" s="74">
        <f t="shared" si="8"/>
        <v>66626249</v>
      </c>
      <c r="K55" s="17">
        <f t="shared" si="9"/>
        <v>20200000</v>
      </c>
    </row>
    <row r="56" spans="1:11" ht="15.95" customHeight="1" x14ac:dyDescent="0.2">
      <c r="A56" s="127">
        <f t="shared" si="10"/>
        <v>33</v>
      </c>
      <c r="B56" s="112">
        <f t="shared" si="11"/>
        <v>8</v>
      </c>
      <c r="C56" s="116" t="s">
        <v>93</v>
      </c>
      <c r="D56" s="227" t="s">
        <v>94</v>
      </c>
      <c r="E56" s="116" t="s">
        <v>68</v>
      </c>
      <c r="F56" s="118">
        <v>4400000</v>
      </c>
      <c r="G56" s="160"/>
      <c r="H56" s="120">
        <v>1000000</v>
      </c>
      <c r="I56" s="179"/>
      <c r="J56" s="74">
        <f t="shared" si="8"/>
        <v>4400000</v>
      </c>
      <c r="K56" s="17">
        <f t="shared" si="9"/>
        <v>1000000</v>
      </c>
    </row>
    <row r="57" spans="1:11" ht="15.95" customHeight="1" x14ac:dyDescent="0.2">
      <c r="A57" s="127">
        <f t="shared" si="10"/>
        <v>34</v>
      </c>
      <c r="B57" s="112">
        <f t="shared" si="11"/>
        <v>9</v>
      </c>
      <c r="C57" s="116" t="s">
        <v>95</v>
      </c>
      <c r="D57" s="227" t="s">
        <v>96</v>
      </c>
      <c r="E57" s="116" t="s">
        <v>97</v>
      </c>
      <c r="F57" s="118">
        <v>577508</v>
      </c>
      <c r="G57" s="160"/>
      <c r="H57" s="120"/>
      <c r="I57" s="179"/>
      <c r="J57" s="74">
        <f t="shared" si="8"/>
        <v>577508</v>
      </c>
      <c r="K57" s="17">
        <f t="shared" si="9"/>
        <v>0</v>
      </c>
    </row>
    <row r="58" spans="1:11" ht="15.95" customHeight="1" x14ac:dyDescent="0.2">
      <c r="A58" s="127">
        <f t="shared" si="10"/>
        <v>35</v>
      </c>
      <c r="B58" s="112">
        <f t="shared" si="11"/>
        <v>10</v>
      </c>
      <c r="C58" s="116" t="s">
        <v>98</v>
      </c>
      <c r="D58" s="227" t="s">
        <v>99</v>
      </c>
      <c r="E58" s="116" t="s">
        <v>68</v>
      </c>
      <c r="F58" s="118">
        <v>103289130</v>
      </c>
      <c r="G58" s="160"/>
      <c r="H58" s="120"/>
      <c r="I58" s="179"/>
      <c r="J58" s="74">
        <f t="shared" si="8"/>
        <v>103289130</v>
      </c>
      <c r="K58" s="17">
        <f t="shared" si="9"/>
        <v>0</v>
      </c>
    </row>
    <row r="59" spans="1:11" ht="15.95" customHeight="1" x14ac:dyDescent="0.2">
      <c r="A59" s="127">
        <f t="shared" si="10"/>
        <v>36</v>
      </c>
      <c r="B59" s="112">
        <f t="shared" si="11"/>
        <v>11</v>
      </c>
      <c r="C59" s="116" t="s">
        <v>100</v>
      </c>
      <c r="D59" s="227" t="s">
        <v>101</v>
      </c>
      <c r="E59" s="116" t="s">
        <v>81</v>
      </c>
      <c r="F59" s="118">
        <v>1001510</v>
      </c>
      <c r="G59" s="160"/>
      <c r="H59" s="120"/>
      <c r="I59" s="179"/>
      <c r="J59" s="74">
        <f t="shared" si="8"/>
        <v>1001510</v>
      </c>
      <c r="K59" s="17">
        <f t="shared" si="9"/>
        <v>0</v>
      </c>
    </row>
    <row r="60" spans="1:11" ht="15.95" customHeight="1" x14ac:dyDescent="0.2">
      <c r="A60" s="127">
        <f t="shared" si="10"/>
        <v>37</v>
      </c>
      <c r="B60" s="112">
        <f t="shared" si="11"/>
        <v>12</v>
      </c>
      <c r="C60" s="116" t="s">
        <v>102</v>
      </c>
      <c r="D60" s="227" t="s">
        <v>103</v>
      </c>
      <c r="E60" s="116" t="s">
        <v>104</v>
      </c>
      <c r="F60" s="118">
        <v>176490000</v>
      </c>
      <c r="G60" s="160"/>
      <c r="H60" s="120">
        <v>150000000</v>
      </c>
      <c r="I60" s="179"/>
      <c r="J60" s="74">
        <f t="shared" si="8"/>
        <v>176490000</v>
      </c>
      <c r="K60" s="17">
        <f t="shared" si="9"/>
        <v>150000000</v>
      </c>
    </row>
    <row r="61" spans="1:11" ht="15.95" customHeight="1" x14ac:dyDescent="0.2">
      <c r="A61" s="127">
        <f t="shared" si="10"/>
        <v>38</v>
      </c>
      <c r="B61" s="112">
        <f t="shared" si="11"/>
        <v>13</v>
      </c>
      <c r="C61" s="116" t="s">
        <v>102</v>
      </c>
      <c r="D61" s="227" t="s">
        <v>105</v>
      </c>
      <c r="E61" s="116" t="s">
        <v>104</v>
      </c>
      <c r="F61" s="118">
        <v>212120000</v>
      </c>
      <c r="G61" s="160"/>
      <c r="H61" s="120">
        <v>120000000</v>
      </c>
      <c r="I61" s="179"/>
      <c r="J61" s="74">
        <f t="shared" si="8"/>
        <v>212120000</v>
      </c>
      <c r="K61" s="17">
        <f t="shared" si="9"/>
        <v>120000000</v>
      </c>
    </row>
    <row r="62" spans="1:11" ht="15.95" customHeight="1" x14ac:dyDescent="0.2">
      <c r="A62" s="127">
        <f t="shared" si="10"/>
        <v>39</v>
      </c>
      <c r="B62" s="112">
        <f t="shared" si="11"/>
        <v>14</v>
      </c>
      <c r="C62" s="116" t="s">
        <v>106</v>
      </c>
      <c r="D62" s="227" t="s">
        <v>107</v>
      </c>
      <c r="E62" s="116" t="s">
        <v>11</v>
      </c>
      <c r="F62" s="118">
        <v>51000000</v>
      </c>
      <c r="G62" s="160"/>
      <c r="H62" s="120">
        <v>30000000</v>
      </c>
      <c r="I62" s="179"/>
      <c r="J62" s="74">
        <f t="shared" si="8"/>
        <v>51000000</v>
      </c>
      <c r="K62" s="17">
        <f t="shared" si="9"/>
        <v>30000000</v>
      </c>
    </row>
    <row r="63" spans="1:11" ht="15.95" customHeight="1" x14ac:dyDescent="0.2">
      <c r="A63" s="127">
        <f t="shared" si="10"/>
        <v>40</v>
      </c>
      <c r="B63" s="112">
        <f t="shared" si="11"/>
        <v>15</v>
      </c>
      <c r="C63" s="116" t="s">
        <v>108</v>
      </c>
      <c r="D63" s="227" t="s">
        <v>109</v>
      </c>
      <c r="E63" s="116" t="s">
        <v>110</v>
      </c>
      <c r="F63" s="118">
        <v>4722321</v>
      </c>
      <c r="G63" s="160"/>
      <c r="H63" s="120"/>
      <c r="I63" s="179"/>
      <c r="J63" s="74">
        <f t="shared" si="8"/>
        <v>4722321</v>
      </c>
      <c r="K63" s="17">
        <f t="shared" si="9"/>
        <v>0</v>
      </c>
    </row>
    <row r="64" spans="1:11" ht="15.95" customHeight="1" x14ac:dyDescent="0.2">
      <c r="A64" s="127">
        <f t="shared" si="10"/>
        <v>41</v>
      </c>
      <c r="B64" s="112">
        <f t="shared" si="11"/>
        <v>16</v>
      </c>
      <c r="C64" s="116" t="s">
        <v>111</v>
      </c>
      <c r="D64" s="227" t="s">
        <v>112</v>
      </c>
      <c r="E64" s="116" t="s">
        <v>110</v>
      </c>
      <c r="F64" s="118">
        <v>2555206</v>
      </c>
      <c r="G64" s="160"/>
      <c r="H64" s="120"/>
      <c r="I64" s="179"/>
      <c r="J64" s="74">
        <f t="shared" si="8"/>
        <v>2555206</v>
      </c>
      <c r="K64" s="17">
        <f t="shared" si="9"/>
        <v>0</v>
      </c>
    </row>
    <row r="65" spans="1:11" ht="15.95" customHeight="1" x14ac:dyDescent="0.2">
      <c r="A65" s="127">
        <f t="shared" si="10"/>
        <v>42</v>
      </c>
      <c r="B65" s="112">
        <f t="shared" si="11"/>
        <v>17</v>
      </c>
      <c r="C65" s="116" t="s">
        <v>113</v>
      </c>
      <c r="D65" s="227" t="s">
        <v>114</v>
      </c>
      <c r="E65" s="116" t="s">
        <v>14</v>
      </c>
      <c r="F65" s="118">
        <f>214071250.6+219748.03+3785336.02+1480889.63+2447859.77+55000000+100646.82</f>
        <v>277105730.87</v>
      </c>
      <c r="G65" s="160"/>
      <c r="H65" s="120">
        <f>85000000+19000000</f>
        <v>104000000</v>
      </c>
      <c r="I65" s="180" t="s">
        <v>115</v>
      </c>
      <c r="J65" s="74">
        <f t="shared" si="8"/>
        <v>277105730.87</v>
      </c>
      <c r="K65" s="17">
        <f t="shared" si="9"/>
        <v>104000000</v>
      </c>
    </row>
    <row r="66" spans="1:11" ht="15.95" customHeight="1" x14ac:dyDescent="0.2">
      <c r="A66" s="127">
        <f t="shared" si="10"/>
        <v>43</v>
      </c>
      <c r="B66" s="112">
        <f t="shared" si="11"/>
        <v>18</v>
      </c>
      <c r="C66" s="116" t="s">
        <v>116</v>
      </c>
      <c r="D66" s="227" t="s">
        <v>117</v>
      </c>
      <c r="E66" s="116" t="s">
        <v>14</v>
      </c>
      <c r="F66" s="118">
        <f>193000000+280484.82-8490-538.12+71336.22-38396637</f>
        <v>154946155.91999999</v>
      </c>
      <c r="G66" s="160"/>
      <c r="H66" s="120">
        <v>50000000</v>
      </c>
      <c r="I66" s="180" t="s">
        <v>118</v>
      </c>
      <c r="J66" s="74">
        <f t="shared" si="8"/>
        <v>154946155.91999999</v>
      </c>
      <c r="K66" s="17">
        <f t="shared" si="9"/>
        <v>50000000</v>
      </c>
    </row>
    <row r="67" spans="1:11" ht="15.95" customHeight="1" x14ac:dyDescent="0.2">
      <c r="A67" s="127">
        <f t="shared" si="10"/>
        <v>44</v>
      </c>
      <c r="B67" s="112">
        <f t="shared" si="11"/>
        <v>19</v>
      </c>
      <c r="C67" s="116" t="s">
        <v>119</v>
      </c>
      <c r="D67" s="227" t="s">
        <v>120</v>
      </c>
      <c r="E67" s="116" t="s">
        <v>81</v>
      </c>
      <c r="F67" s="118">
        <f>8905500-5500</f>
        <v>8900000</v>
      </c>
      <c r="G67" s="160"/>
      <c r="H67" s="120"/>
      <c r="I67" s="179"/>
      <c r="J67" s="74">
        <f t="shared" si="8"/>
        <v>8900000</v>
      </c>
      <c r="K67" s="17">
        <f t="shared" si="9"/>
        <v>0</v>
      </c>
    </row>
    <row r="68" spans="1:11" ht="15.95" customHeight="1" x14ac:dyDescent="0.2">
      <c r="A68" s="127">
        <f t="shared" si="10"/>
        <v>45</v>
      </c>
      <c r="B68" s="112">
        <f t="shared" si="11"/>
        <v>20</v>
      </c>
      <c r="C68" s="116" t="s">
        <v>121</v>
      </c>
      <c r="D68" s="227" t="s">
        <v>122</v>
      </c>
      <c r="E68" s="116" t="s">
        <v>68</v>
      </c>
      <c r="F68" s="119">
        <v>19658800</v>
      </c>
      <c r="G68" s="161"/>
      <c r="H68" s="120"/>
      <c r="I68" s="179"/>
      <c r="J68" s="74">
        <f t="shared" si="8"/>
        <v>19658800</v>
      </c>
      <c r="K68" s="17">
        <f t="shared" si="9"/>
        <v>0</v>
      </c>
    </row>
    <row r="69" spans="1:11" ht="15.95" customHeight="1" x14ac:dyDescent="0.2">
      <c r="A69" s="127">
        <f t="shared" si="10"/>
        <v>46</v>
      </c>
      <c r="B69" s="112">
        <f t="shared" si="11"/>
        <v>21</v>
      </c>
      <c r="C69" s="116" t="s">
        <v>123</v>
      </c>
      <c r="D69" s="227" t="s">
        <v>124</v>
      </c>
      <c r="E69" s="116" t="s">
        <v>81</v>
      </c>
      <c r="F69" s="118">
        <f>5933500-3500</f>
        <v>5930000</v>
      </c>
      <c r="G69" s="160"/>
      <c r="H69" s="120"/>
      <c r="I69" s="179"/>
      <c r="J69" s="74">
        <f t="shared" si="8"/>
        <v>5930000</v>
      </c>
      <c r="K69" s="17">
        <f t="shared" si="9"/>
        <v>0</v>
      </c>
    </row>
    <row r="70" spans="1:11" ht="15.95" customHeight="1" x14ac:dyDescent="0.2">
      <c r="A70" s="127">
        <f t="shared" si="10"/>
        <v>47</v>
      </c>
      <c r="B70" s="112">
        <f t="shared" si="11"/>
        <v>22</v>
      </c>
      <c r="C70" s="116" t="s">
        <v>125</v>
      </c>
      <c r="D70" s="227" t="s">
        <v>126</v>
      </c>
      <c r="E70" s="116" t="s">
        <v>68</v>
      </c>
      <c r="F70" s="118">
        <v>14372806.76</v>
      </c>
      <c r="G70" s="160"/>
      <c r="H70" s="120"/>
      <c r="I70" s="179"/>
      <c r="J70" s="74">
        <f t="shared" si="8"/>
        <v>14372806.76</v>
      </c>
      <c r="K70" s="17">
        <f t="shared" si="9"/>
        <v>0</v>
      </c>
    </row>
    <row r="71" spans="1:11" ht="15.95" customHeight="1" x14ac:dyDescent="0.2">
      <c r="A71" s="101">
        <f t="shared" si="10"/>
        <v>48</v>
      </c>
      <c r="B71" s="102">
        <f t="shared" si="11"/>
        <v>23</v>
      </c>
      <c r="C71" s="104" t="s">
        <v>127</v>
      </c>
      <c r="D71" s="224" t="s">
        <v>128</v>
      </c>
      <c r="E71" s="104" t="s">
        <v>81</v>
      </c>
      <c r="F71" s="106">
        <f>5102000-2000</f>
        <v>5100000</v>
      </c>
      <c r="G71" s="156"/>
      <c r="H71" s="107"/>
      <c r="I71" s="177"/>
      <c r="J71" s="74">
        <f t="shared" si="8"/>
        <v>5100000</v>
      </c>
      <c r="K71" s="17">
        <f t="shared" si="9"/>
        <v>0</v>
      </c>
    </row>
    <row r="72" spans="1:11" ht="15.95" customHeight="1" x14ac:dyDescent="0.2">
      <c r="A72" s="16" t="s">
        <v>129</v>
      </c>
      <c r="B72" s="48"/>
      <c r="C72" s="68"/>
      <c r="D72" s="228"/>
      <c r="E72" s="68"/>
      <c r="F72" s="108">
        <f>SUM(F49:F71)</f>
        <v>2579176600.5500002</v>
      </c>
      <c r="G72" s="157"/>
      <c r="H72" s="109">
        <f>SUM(H49:H71)</f>
        <v>2047447711</v>
      </c>
      <c r="I72" s="178"/>
      <c r="J72" s="74"/>
      <c r="K72" s="17"/>
    </row>
    <row r="73" spans="1:11" ht="15.95" customHeight="1" x14ac:dyDescent="0.2">
      <c r="A73" s="257">
        <v>1995</v>
      </c>
      <c r="B73" s="258"/>
      <c r="C73" s="258"/>
      <c r="D73" s="258"/>
      <c r="E73" s="258"/>
      <c r="F73" s="258"/>
      <c r="G73" s="258"/>
      <c r="H73" s="258"/>
      <c r="I73" s="259"/>
      <c r="J73" s="74">
        <f t="shared" ref="J73:J103" si="12">+F73</f>
        <v>0</v>
      </c>
      <c r="K73" s="17">
        <f t="shared" ref="K73:K103" si="13">+H73</f>
        <v>0</v>
      </c>
    </row>
    <row r="74" spans="1:11" ht="15.95" customHeight="1" x14ac:dyDescent="0.2">
      <c r="A74" s="99">
        <f>A71+1</f>
        <v>49</v>
      </c>
      <c r="B74" s="100">
        <v>1</v>
      </c>
      <c r="C74" s="103" t="s">
        <v>130</v>
      </c>
      <c r="D74" s="223" t="s">
        <v>131</v>
      </c>
      <c r="E74" s="103" t="s">
        <v>81</v>
      </c>
      <c r="F74" s="117">
        <f>10254750-4000</f>
        <v>10250750</v>
      </c>
      <c r="G74" s="159"/>
      <c r="H74" s="105"/>
      <c r="I74" s="176"/>
      <c r="J74" s="74">
        <f t="shared" si="12"/>
        <v>10250750</v>
      </c>
      <c r="K74" s="17">
        <f t="shared" si="13"/>
        <v>0</v>
      </c>
    </row>
    <row r="75" spans="1:11" ht="15.95" customHeight="1" x14ac:dyDescent="0.2">
      <c r="A75" s="127">
        <f t="shared" ref="A75:A103" si="14">A74+1</f>
        <v>50</v>
      </c>
      <c r="B75" s="112">
        <f t="shared" ref="B75:B103" si="15">B74+1</f>
        <v>2</v>
      </c>
      <c r="C75" s="116" t="s">
        <v>132</v>
      </c>
      <c r="D75" s="227" t="s">
        <v>133</v>
      </c>
      <c r="E75" s="116" t="s">
        <v>32</v>
      </c>
      <c r="F75" s="118">
        <v>151165</v>
      </c>
      <c r="G75" s="160"/>
      <c r="H75" s="120"/>
      <c r="I75" s="179"/>
      <c r="J75" s="74">
        <f t="shared" si="12"/>
        <v>151165</v>
      </c>
      <c r="K75" s="17">
        <f t="shared" si="13"/>
        <v>0</v>
      </c>
    </row>
    <row r="76" spans="1:11" ht="15.95" customHeight="1" x14ac:dyDescent="0.2">
      <c r="A76" s="127">
        <f t="shared" si="14"/>
        <v>51</v>
      </c>
      <c r="B76" s="112">
        <f t="shared" si="15"/>
        <v>3</v>
      </c>
      <c r="C76" s="116" t="s">
        <v>134</v>
      </c>
      <c r="D76" s="227" t="s">
        <v>135</v>
      </c>
      <c r="E76" s="116" t="s">
        <v>81</v>
      </c>
      <c r="F76" s="118">
        <f>7505500-5500</f>
        <v>7500000</v>
      </c>
      <c r="G76" s="160"/>
      <c r="H76" s="120"/>
      <c r="I76" s="179"/>
      <c r="J76" s="74">
        <f t="shared" si="12"/>
        <v>7500000</v>
      </c>
      <c r="K76" s="17">
        <f t="shared" si="13"/>
        <v>0</v>
      </c>
    </row>
    <row r="77" spans="1:11" ht="15.95" customHeight="1" x14ac:dyDescent="0.2">
      <c r="A77" s="127">
        <f t="shared" si="14"/>
        <v>52</v>
      </c>
      <c r="B77" s="112">
        <f t="shared" si="15"/>
        <v>4</v>
      </c>
      <c r="C77" s="116" t="s">
        <v>134</v>
      </c>
      <c r="D77" s="227" t="s">
        <v>136</v>
      </c>
      <c r="E77" s="116" t="s">
        <v>137</v>
      </c>
      <c r="F77" s="118">
        <f>25296643-2112222-4507777</f>
        <v>18676644</v>
      </c>
      <c r="G77" s="160"/>
      <c r="H77" s="120">
        <f>16611686-1184303-5520960</f>
        <v>9906423</v>
      </c>
      <c r="I77" s="180" t="s">
        <v>40</v>
      </c>
      <c r="J77" s="74">
        <f t="shared" si="12"/>
        <v>18676644</v>
      </c>
      <c r="K77" s="17">
        <f t="shared" si="13"/>
        <v>9906423</v>
      </c>
    </row>
    <row r="78" spans="1:11" ht="15.95" customHeight="1" x14ac:dyDescent="0.2">
      <c r="A78" s="127">
        <f t="shared" si="14"/>
        <v>53</v>
      </c>
      <c r="B78" s="112">
        <f t="shared" si="15"/>
        <v>5</v>
      </c>
      <c r="C78" s="116" t="s">
        <v>138</v>
      </c>
      <c r="D78" s="227" t="s">
        <v>139</v>
      </c>
      <c r="E78" s="116" t="s">
        <v>84</v>
      </c>
      <c r="F78" s="118">
        <v>19710594</v>
      </c>
      <c r="G78" s="160"/>
      <c r="H78" s="120"/>
      <c r="I78" s="179"/>
      <c r="J78" s="74">
        <f t="shared" si="12"/>
        <v>19710594</v>
      </c>
      <c r="K78" s="17">
        <f t="shared" si="13"/>
        <v>0</v>
      </c>
    </row>
    <row r="79" spans="1:11" ht="15.95" customHeight="1" x14ac:dyDescent="0.2">
      <c r="A79" s="127">
        <f t="shared" si="14"/>
        <v>54</v>
      </c>
      <c r="B79" s="112">
        <f t="shared" si="15"/>
        <v>6</v>
      </c>
      <c r="C79" s="128" t="s">
        <v>140</v>
      </c>
      <c r="D79" s="227" t="s">
        <v>141</v>
      </c>
      <c r="E79" s="116" t="s">
        <v>81</v>
      </c>
      <c r="F79" s="118">
        <v>2154500</v>
      </c>
      <c r="G79" s="160"/>
      <c r="H79" s="120"/>
      <c r="I79" s="179"/>
      <c r="J79" s="74">
        <f t="shared" si="12"/>
        <v>2154500</v>
      </c>
      <c r="K79" s="17">
        <f t="shared" si="13"/>
        <v>0</v>
      </c>
    </row>
    <row r="80" spans="1:11" ht="15.95" customHeight="1" x14ac:dyDescent="0.2">
      <c r="A80" s="127">
        <f t="shared" si="14"/>
        <v>55</v>
      </c>
      <c r="B80" s="112">
        <f t="shared" si="15"/>
        <v>7</v>
      </c>
      <c r="C80" s="116" t="s">
        <v>142</v>
      </c>
      <c r="D80" s="227" t="s">
        <v>143</v>
      </c>
      <c r="E80" s="116" t="s">
        <v>81</v>
      </c>
      <c r="F80" s="118">
        <f>6735975+55003</f>
        <v>6790978</v>
      </c>
      <c r="G80" s="160"/>
      <c r="H80" s="120"/>
      <c r="I80" s="180"/>
      <c r="J80" s="74">
        <f t="shared" si="12"/>
        <v>6790978</v>
      </c>
      <c r="K80" s="17">
        <f t="shared" si="13"/>
        <v>0</v>
      </c>
    </row>
    <row r="81" spans="1:11" ht="15.95" customHeight="1" x14ac:dyDescent="0.2">
      <c r="A81" s="127">
        <f t="shared" si="14"/>
        <v>56</v>
      </c>
      <c r="B81" s="112">
        <f t="shared" si="15"/>
        <v>8</v>
      </c>
      <c r="C81" s="116" t="s">
        <v>144</v>
      </c>
      <c r="D81" s="227" t="s">
        <v>136</v>
      </c>
      <c r="E81" s="116" t="s">
        <v>137</v>
      </c>
      <c r="F81" s="118">
        <v>17498486</v>
      </c>
      <c r="G81" s="160"/>
      <c r="H81" s="120">
        <f>4307797-249374+180000</f>
        <v>4238423</v>
      </c>
      <c r="I81" s="179" t="s">
        <v>40</v>
      </c>
      <c r="J81" s="74">
        <f t="shared" si="12"/>
        <v>17498486</v>
      </c>
      <c r="K81" s="17">
        <f t="shared" si="13"/>
        <v>4238423</v>
      </c>
    </row>
    <row r="82" spans="1:11" ht="15.95" customHeight="1" x14ac:dyDescent="0.2">
      <c r="A82" s="127">
        <f t="shared" si="14"/>
        <v>57</v>
      </c>
      <c r="B82" s="112">
        <f t="shared" si="15"/>
        <v>9</v>
      </c>
      <c r="C82" s="116" t="s">
        <v>145</v>
      </c>
      <c r="D82" s="227" t="s">
        <v>146</v>
      </c>
      <c r="E82" s="116" t="s">
        <v>11</v>
      </c>
      <c r="F82" s="118">
        <f>255700000</f>
        <v>255700000</v>
      </c>
      <c r="G82" s="160"/>
      <c r="H82" s="120"/>
      <c r="I82" s="179"/>
      <c r="J82" s="74">
        <f t="shared" si="12"/>
        <v>255700000</v>
      </c>
      <c r="K82" s="17">
        <f t="shared" si="13"/>
        <v>0</v>
      </c>
    </row>
    <row r="83" spans="1:11" ht="15.95" customHeight="1" x14ac:dyDescent="0.2">
      <c r="A83" s="127">
        <f t="shared" si="14"/>
        <v>58</v>
      </c>
      <c r="B83" s="112">
        <f t="shared" si="15"/>
        <v>10</v>
      </c>
      <c r="C83" s="116" t="s">
        <v>147</v>
      </c>
      <c r="D83" s="227" t="s">
        <v>148</v>
      </c>
      <c r="E83" s="116" t="s">
        <v>104</v>
      </c>
      <c r="F83" s="118">
        <v>41814000</v>
      </c>
      <c r="G83" s="160"/>
      <c r="H83" s="120"/>
      <c r="I83" s="179"/>
      <c r="J83" s="74">
        <f t="shared" si="12"/>
        <v>41814000</v>
      </c>
      <c r="K83" s="17">
        <f t="shared" si="13"/>
        <v>0</v>
      </c>
    </row>
    <row r="84" spans="1:11" ht="15.95" customHeight="1" x14ac:dyDescent="0.2">
      <c r="A84" s="127">
        <f t="shared" si="14"/>
        <v>59</v>
      </c>
      <c r="B84" s="112">
        <f t="shared" si="15"/>
        <v>11</v>
      </c>
      <c r="C84" s="116" t="s">
        <v>149</v>
      </c>
      <c r="D84" s="227" t="s">
        <v>150</v>
      </c>
      <c r="E84" s="116" t="s">
        <v>137</v>
      </c>
      <c r="F84" s="118">
        <f>3333333+255000</f>
        <v>3588333</v>
      </c>
      <c r="G84" s="160"/>
      <c r="H84" s="120">
        <f>2000000+127500</f>
        <v>2127500</v>
      </c>
      <c r="I84" s="179" t="s">
        <v>40</v>
      </c>
      <c r="J84" s="74">
        <f t="shared" si="12"/>
        <v>3588333</v>
      </c>
      <c r="K84" s="17">
        <f t="shared" si="13"/>
        <v>2127500</v>
      </c>
    </row>
    <row r="85" spans="1:11" ht="15.95" customHeight="1" x14ac:dyDescent="0.2">
      <c r="A85" s="127">
        <f t="shared" si="14"/>
        <v>60</v>
      </c>
      <c r="B85" s="112">
        <f t="shared" si="15"/>
        <v>12</v>
      </c>
      <c r="C85" s="116" t="s">
        <v>149</v>
      </c>
      <c r="D85" s="227" t="s">
        <v>151</v>
      </c>
      <c r="E85" s="116" t="s">
        <v>137</v>
      </c>
      <c r="F85" s="118">
        <f>6140+9122+212500+130000+99800+58000+212000+199000+55200</f>
        <v>981762</v>
      </c>
      <c r="G85" s="160"/>
      <c r="H85" s="120"/>
      <c r="I85" s="179"/>
      <c r="J85" s="74">
        <f t="shared" si="12"/>
        <v>981762</v>
      </c>
      <c r="K85" s="17">
        <f t="shared" si="13"/>
        <v>0</v>
      </c>
    </row>
    <row r="86" spans="1:11" ht="15.95" customHeight="1" x14ac:dyDescent="0.2">
      <c r="A86" s="127">
        <f t="shared" si="14"/>
        <v>61</v>
      </c>
      <c r="B86" s="112">
        <f t="shared" si="15"/>
        <v>13</v>
      </c>
      <c r="C86" s="116" t="s">
        <v>152</v>
      </c>
      <c r="D86" s="227" t="s">
        <v>141</v>
      </c>
      <c r="E86" s="116" t="s">
        <v>81</v>
      </c>
      <c r="F86" s="118">
        <v>1832895</v>
      </c>
      <c r="G86" s="160"/>
      <c r="H86" s="120"/>
      <c r="I86" s="179"/>
      <c r="J86" s="74">
        <f t="shared" si="12"/>
        <v>1832895</v>
      </c>
      <c r="K86" s="17">
        <f t="shared" si="13"/>
        <v>0</v>
      </c>
    </row>
    <row r="87" spans="1:11" ht="15.95" customHeight="1" x14ac:dyDescent="0.2">
      <c r="A87" s="127">
        <f t="shared" si="14"/>
        <v>62</v>
      </c>
      <c r="B87" s="112">
        <f t="shared" si="15"/>
        <v>14</v>
      </c>
      <c r="C87" s="116" t="s">
        <v>153</v>
      </c>
      <c r="D87" s="227" t="s">
        <v>154</v>
      </c>
      <c r="E87" s="116" t="s">
        <v>81</v>
      </c>
      <c r="F87" s="118">
        <v>4753928</v>
      </c>
      <c r="G87" s="160"/>
      <c r="H87" s="120"/>
      <c r="I87" s="179"/>
      <c r="J87" s="74">
        <f t="shared" si="12"/>
        <v>4753928</v>
      </c>
      <c r="K87" s="17">
        <f t="shared" si="13"/>
        <v>0</v>
      </c>
    </row>
    <row r="88" spans="1:11" ht="15.95" customHeight="1" x14ac:dyDescent="0.2">
      <c r="A88" s="127">
        <f t="shared" si="14"/>
        <v>63</v>
      </c>
      <c r="B88" s="112">
        <f t="shared" si="15"/>
        <v>15</v>
      </c>
      <c r="C88" s="116" t="s">
        <v>155</v>
      </c>
      <c r="D88" s="227" t="s">
        <v>156</v>
      </c>
      <c r="E88" s="116" t="s">
        <v>68</v>
      </c>
      <c r="F88" s="118">
        <f>12133632</f>
        <v>12133632</v>
      </c>
      <c r="G88" s="160"/>
      <c r="H88" s="120"/>
      <c r="I88" s="179"/>
      <c r="J88" s="74">
        <f t="shared" si="12"/>
        <v>12133632</v>
      </c>
      <c r="K88" s="17">
        <f t="shared" si="13"/>
        <v>0</v>
      </c>
    </row>
    <row r="89" spans="1:11" ht="15.95" customHeight="1" x14ac:dyDescent="0.2">
      <c r="A89" s="127">
        <f t="shared" si="14"/>
        <v>64</v>
      </c>
      <c r="B89" s="112">
        <f t="shared" si="15"/>
        <v>16</v>
      </c>
      <c r="C89" s="116" t="s">
        <v>157</v>
      </c>
      <c r="D89" s="227" t="s">
        <v>156</v>
      </c>
      <c r="E89" s="116" t="s">
        <v>68</v>
      </c>
      <c r="F89" s="118">
        <f>82322787.2/2.24+19342619.37</f>
        <v>56093863.655714288</v>
      </c>
      <c r="G89" s="160"/>
      <c r="H89" s="120"/>
      <c r="I89" s="179"/>
      <c r="J89" s="74">
        <f t="shared" si="12"/>
        <v>56093863.655714288</v>
      </c>
      <c r="K89" s="17">
        <f t="shared" si="13"/>
        <v>0</v>
      </c>
    </row>
    <row r="90" spans="1:11" ht="15.95" customHeight="1" x14ac:dyDescent="0.2">
      <c r="A90" s="127">
        <f t="shared" si="14"/>
        <v>65</v>
      </c>
      <c r="B90" s="112">
        <f t="shared" si="15"/>
        <v>17</v>
      </c>
      <c r="C90" s="116" t="s">
        <v>158</v>
      </c>
      <c r="D90" s="227" t="s">
        <v>159</v>
      </c>
      <c r="E90" s="116" t="s">
        <v>14</v>
      </c>
      <c r="F90" s="118">
        <f>1238489+90520</f>
        <v>1329009</v>
      </c>
      <c r="G90" s="160"/>
      <c r="H90" s="120"/>
      <c r="I90" s="180"/>
      <c r="J90" s="74">
        <f t="shared" si="12"/>
        <v>1329009</v>
      </c>
      <c r="K90" s="17">
        <f t="shared" si="13"/>
        <v>0</v>
      </c>
    </row>
    <row r="91" spans="1:11" ht="15.95" customHeight="1" x14ac:dyDescent="0.2">
      <c r="A91" s="127">
        <f t="shared" si="14"/>
        <v>66</v>
      </c>
      <c r="B91" s="112">
        <f t="shared" si="15"/>
        <v>18</v>
      </c>
      <c r="C91" s="116">
        <v>34881</v>
      </c>
      <c r="D91" s="227" t="s">
        <v>160</v>
      </c>
      <c r="E91" s="116" t="s">
        <v>104</v>
      </c>
      <c r="F91" s="118">
        <v>10832874</v>
      </c>
      <c r="G91" s="160"/>
      <c r="H91" s="120"/>
      <c r="I91" s="180"/>
      <c r="J91" s="74">
        <f t="shared" si="12"/>
        <v>10832874</v>
      </c>
      <c r="K91" s="17">
        <f t="shared" si="13"/>
        <v>0</v>
      </c>
    </row>
    <row r="92" spans="1:11" ht="15.95" customHeight="1" x14ac:dyDescent="0.2">
      <c r="A92" s="127">
        <f t="shared" si="14"/>
        <v>67</v>
      </c>
      <c r="B92" s="112">
        <f t="shared" si="15"/>
        <v>19</v>
      </c>
      <c r="C92" s="116" t="s">
        <v>161</v>
      </c>
      <c r="D92" s="227" t="s">
        <v>162</v>
      </c>
      <c r="E92" s="116" t="s">
        <v>11</v>
      </c>
      <c r="F92" s="118">
        <v>32149258</v>
      </c>
      <c r="G92" s="160"/>
      <c r="H92" s="120"/>
      <c r="I92" s="179"/>
      <c r="J92" s="74">
        <f t="shared" si="12"/>
        <v>32149258</v>
      </c>
      <c r="K92" s="17">
        <f t="shared" si="13"/>
        <v>0</v>
      </c>
    </row>
    <row r="93" spans="1:11" ht="15.95" customHeight="1" x14ac:dyDescent="0.2">
      <c r="A93" s="127">
        <f t="shared" si="14"/>
        <v>68</v>
      </c>
      <c r="B93" s="112">
        <f t="shared" si="15"/>
        <v>20</v>
      </c>
      <c r="C93" s="116" t="s">
        <v>163</v>
      </c>
      <c r="D93" s="227" t="s">
        <v>164</v>
      </c>
      <c r="E93" s="116" t="s">
        <v>11</v>
      </c>
      <c r="F93" s="119">
        <v>4482093</v>
      </c>
      <c r="G93" s="161"/>
      <c r="H93" s="120"/>
      <c r="I93" s="179"/>
      <c r="J93" s="74">
        <f t="shared" si="12"/>
        <v>4482093</v>
      </c>
      <c r="K93" s="17">
        <f t="shared" si="13"/>
        <v>0</v>
      </c>
    </row>
    <row r="94" spans="1:11" ht="15.95" customHeight="1" x14ac:dyDescent="0.2">
      <c r="A94" s="127">
        <f t="shared" si="14"/>
        <v>69</v>
      </c>
      <c r="B94" s="112">
        <f t="shared" si="15"/>
        <v>21</v>
      </c>
      <c r="C94" s="116" t="s">
        <v>165</v>
      </c>
      <c r="D94" s="227" t="s">
        <v>166</v>
      </c>
      <c r="E94" s="116" t="s">
        <v>68</v>
      </c>
      <c r="F94" s="118">
        <v>3110000</v>
      </c>
      <c r="G94" s="160"/>
      <c r="H94" s="120"/>
      <c r="I94" s="179"/>
      <c r="J94" s="74">
        <f t="shared" si="12"/>
        <v>3110000</v>
      </c>
      <c r="K94" s="17">
        <f t="shared" si="13"/>
        <v>0</v>
      </c>
    </row>
    <row r="95" spans="1:11" ht="15.95" customHeight="1" x14ac:dyDescent="0.2">
      <c r="A95" s="127">
        <f t="shared" si="14"/>
        <v>70</v>
      </c>
      <c r="B95" s="112">
        <f t="shared" si="15"/>
        <v>22</v>
      </c>
      <c r="C95" s="116" t="s">
        <v>167</v>
      </c>
      <c r="D95" s="227" t="s">
        <v>168</v>
      </c>
      <c r="E95" s="116" t="s">
        <v>81</v>
      </c>
      <c r="F95" s="118">
        <v>5637000</v>
      </c>
      <c r="G95" s="160"/>
      <c r="H95" s="120"/>
      <c r="I95" s="179"/>
      <c r="J95" s="74">
        <f t="shared" si="12"/>
        <v>5637000</v>
      </c>
      <c r="K95" s="17">
        <f t="shared" si="13"/>
        <v>0</v>
      </c>
    </row>
    <row r="96" spans="1:11" ht="15.95" customHeight="1" x14ac:dyDescent="0.2">
      <c r="A96" s="127">
        <f t="shared" si="14"/>
        <v>71</v>
      </c>
      <c r="B96" s="112">
        <f t="shared" si="15"/>
        <v>23</v>
      </c>
      <c r="C96" s="116" t="s">
        <v>169</v>
      </c>
      <c r="D96" s="227" t="s">
        <v>170</v>
      </c>
      <c r="E96" s="116" t="s">
        <v>68</v>
      </c>
      <c r="F96" s="118">
        <f>20140+10000+15822+250138.2+1250412</f>
        <v>1546512.2</v>
      </c>
      <c r="G96" s="160"/>
      <c r="H96" s="120"/>
      <c r="I96" s="179"/>
      <c r="J96" s="74">
        <f t="shared" si="12"/>
        <v>1546512.2</v>
      </c>
      <c r="K96" s="17">
        <f t="shared" si="13"/>
        <v>0</v>
      </c>
    </row>
    <row r="97" spans="1:11" ht="15.95" customHeight="1" x14ac:dyDescent="0.2">
      <c r="A97" s="127">
        <f t="shared" si="14"/>
        <v>72</v>
      </c>
      <c r="B97" s="112">
        <f t="shared" si="15"/>
        <v>24</v>
      </c>
      <c r="C97" s="116" t="s">
        <v>171</v>
      </c>
      <c r="D97" s="227" t="s">
        <v>172</v>
      </c>
      <c r="E97" s="116" t="s">
        <v>104</v>
      </c>
      <c r="F97" s="118">
        <v>524452309</v>
      </c>
      <c r="G97" s="160"/>
      <c r="H97" s="120">
        <v>42000000</v>
      </c>
      <c r="I97" s="179" t="s">
        <v>40</v>
      </c>
      <c r="J97" s="74">
        <f t="shared" si="12"/>
        <v>524452309</v>
      </c>
      <c r="K97" s="17">
        <f t="shared" si="13"/>
        <v>42000000</v>
      </c>
    </row>
    <row r="98" spans="1:11" ht="15.95" customHeight="1" x14ac:dyDescent="0.2">
      <c r="A98" s="127">
        <f t="shared" si="14"/>
        <v>73</v>
      </c>
      <c r="B98" s="112">
        <f t="shared" si="15"/>
        <v>25</v>
      </c>
      <c r="C98" s="116" t="s">
        <v>173</v>
      </c>
      <c r="D98" s="227" t="s">
        <v>174</v>
      </c>
      <c r="E98" s="116" t="s">
        <v>175</v>
      </c>
      <c r="F98" s="118">
        <f>70000+176200</f>
        <v>246200</v>
      </c>
      <c r="G98" s="160"/>
      <c r="H98" s="120"/>
      <c r="I98" s="179"/>
      <c r="J98" s="74">
        <f t="shared" si="12"/>
        <v>246200</v>
      </c>
      <c r="K98" s="17">
        <f t="shared" si="13"/>
        <v>0</v>
      </c>
    </row>
    <row r="99" spans="1:11" ht="15.95" customHeight="1" x14ac:dyDescent="0.2">
      <c r="A99" s="127">
        <f t="shared" si="14"/>
        <v>74</v>
      </c>
      <c r="B99" s="112">
        <f t="shared" si="15"/>
        <v>26</v>
      </c>
      <c r="C99" s="116" t="s">
        <v>176</v>
      </c>
      <c r="D99" s="227" t="s">
        <v>177</v>
      </c>
      <c r="E99" s="116" t="s">
        <v>68</v>
      </c>
      <c r="F99" s="118">
        <v>33321000</v>
      </c>
      <c r="G99" s="160"/>
      <c r="H99" s="120">
        <v>5000000</v>
      </c>
      <c r="I99" s="179" t="s">
        <v>178</v>
      </c>
      <c r="J99" s="74">
        <f t="shared" si="12"/>
        <v>33321000</v>
      </c>
      <c r="K99" s="17">
        <f t="shared" si="13"/>
        <v>5000000</v>
      </c>
    </row>
    <row r="100" spans="1:11" ht="15.95" customHeight="1" x14ac:dyDescent="0.2">
      <c r="A100" s="127">
        <f t="shared" si="14"/>
        <v>75</v>
      </c>
      <c r="B100" s="112">
        <f t="shared" si="15"/>
        <v>27</v>
      </c>
      <c r="C100" s="116" t="s">
        <v>179</v>
      </c>
      <c r="D100" s="227" t="s">
        <v>180</v>
      </c>
      <c r="E100" s="116" t="s">
        <v>81</v>
      </c>
      <c r="F100" s="118">
        <v>381000</v>
      </c>
      <c r="G100" s="160"/>
      <c r="H100" s="120"/>
      <c r="I100" s="180"/>
      <c r="J100" s="74">
        <f t="shared" si="12"/>
        <v>381000</v>
      </c>
      <c r="K100" s="17">
        <f t="shared" si="13"/>
        <v>0</v>
      </c>
    </row>
    <row r="101" spans="1:11" ht="15.95" customHeight="1" x14ac:dyDescent="0.2">
      <c r="A101" s="127">
        <f t="shared" si="14"/>
        <v>76</v>
      </c>
      <c r="B101" s="112">
        <f t="shared" si="15"/>
        <v>28</v>
      </c>
      <c r="C101" s="116" t="s">
        <v>181</v>
      </c>
      <c r="D101" s="227" t="s">
        <v>182</v>
      </c>
      <c r="E101" s="116" t="s">
        <v>81</v>
      </c>
      <c r="F101" s="118">
        <v>1211000</v>
      </c>
      <c r="G101" s="160"/>
      <c r="H101" s="120"/>
      <c r="I101" s="179"/>
      <c r="J101" s="74">
        <f t="shared" si="12"/>
        <v>1211000</v>
      </c>
      <c r="K101" s="17">
        <f t="shared" si="13"/>
        <v>0</v>
      </c>
    </row>
    <row r="102" spans="1:11" ht="15.95" customHeight="1" x14ac:dyDescent="0.2">
      <c r="A102" s="127">
        <f t="shared" si="14"/>
        <v>77</v>
      </c>
      <c r="B102" s="112">
        <f t="shared" si="15"/>
        <v>29</v>
      </c>
      <c r="C102" s="128" t="s">
        <v>183</v>
      </c>
      <c r="D102" s="227" t="s">
        <v>184</v>
      </c>
      <c r="E102" s="116" t="s">
        <v>81</v>
      </c>
      <c r="F102" s="118">
        <v>325550</v>
      </c>
      <c r="G102" s="160"/>
      <c r="H102" s="120"/>
      <c r="I102" s="179"/>
      <c r="J102" s="74">
        <f t="shared" si="12"/>
        <v>325550</v>
      </c>
      <c r="K102" s="17">
        <f t="shared" si="13"/>
        <v>0</v>
      </c>
    </row>
    <row r="103" spans="1:11" ht="15.95" customHeight="1" x14ac:dyDescent="0.2">
      <c r="A103" s="129">
        <f t="shared" si="14"/>
        <v>78</v>
      </c>
      <c r="B103" s="130">
        <f t="shared" si="15"/>
        <v>30</v>
      </c>
      <c r="C103" s="131" t="s">
        <v>185</v>
      </c>
      <c r="D103" s="229" t="s">
        <v>186</v>
      </c>
      <c r="E103" s="131" t="s">
        <v>104</v>
      </c>
      <c r="F103" s="132">
        <v>10355193</v>
      </c>
      <c r="G103" s="162"/>
      <c r="H103" s="133"/>
      <c r="I103" s="182"/>
      <c r="J103" s="74">
        <f t="shared" si="12"/>
        <v>10355193</v>
      </c>
      <c r="K103" s="17">
        <f t="shared" si="13"/>
        <v>0</v>
      </c>
    </row>
    <row r="104" spans="1:11" ht="15.95" customHeight="1" x14ac:dyDescent="0.2">
      <c r="A104" s="16" t="s">
        <v>187</v>
      </c>
      <c r="B104" s="3"/>
      <c r="C104" s="2"/>
      <c r="D104" s="225"/>
      <c r="E104" s="2"/>
      <c r="F104" s="108">
        <f>SUM(F74:F103)</f>
        <v>1089010528.8557143</v>
      </c>
      <c r="G104" s="157"/>
      <c r="H104" s="109">
        <f>SUM(H74:H103)</f>
        <v>63272346</v>
      </c>
      <c r="I104" s="183"/>
      <c r="J104" s="74"/>
      <c r="K104" s="17"/>
    </row>
    <row r="105" spans="1:11" ht="15.95" customHeight="1" x14ac:dyDescent="0.2">
      <c r="A105" s="257">
        <v>1996</v>
      </c>
      <c r="B105" s="258"/>
      <c r="C105" s="258"/>
      <c r="D105" s="258"/>
      <c r="E105" s="258"/>
      <c r="F105" s="258"/>
      <c r="G105" s="258"/>
      <c r="H105" s="258"/>
      <c r="I105" s="259"/>
      <c r="J105" s="74">
        <f t="shared" ref="J105:J142" si="16">+F105</f>
        <v>0</v>
      </c>
      <c r="K105" s="17">
        <f t="shared" ref="K105:K142" si="17">+H105</f>
        <v>0</v>
      </c>
    </row>
    <row r="106" spans="1:11" ht="15.95" customHeight="1" x14ac:dyDescent="0.2">
      <c r="A106" s="99">
        <f>A103+1</f>
        <v>79</v>
      </c>
      <c r="B106" s="100">
        <v>1</v>
      </c>
      <c r="C106" s="103" t="s">
        <v>188</v>
      </c>
      <c r="D106" s="223" t="s">
        <v>189</v>
      </c>
      <c r="E106" s="103" t="s">
        <v>14</v>
      </c>
      <c r="F106" s="117">
        <v>211500</v>
      </c>
      <c r="G106" s="159"/>
      <c r="H106" s="105"/>
      <c r="I106" s="176"/>
      <c r="J106" s="74">
        <f t="shared" si="16"/>
        <v>211500</v>
      </c>
      <c r="K106" s="17">
        <f t="shared" si="17"/>
        <v>0</v>
      </c>
    </row>
    <row r="107" spans="1:11" ht="15.95" customHeight="1" x14ac:dyDescent="0.2">
      <c r="A107" s="127">
        <f t="shared" ref="A107:A142" si="18">A106+1</f>
        <v>80</v>
      </c>
      <c r="B107" s="112">
        <f t="shared" ref="B107:B142" si="19">B106+1</f>
        <v>2</v>
      </c>
      <c r="C107" s="116" t="s">
        <v>190</v>
      </c>
      <c r="D107" s="227" t="s">
        <v>191</v>
      </c>
      <c r="E107" s="116" t="s">
        <v>68</v>
      </c>
      <c r="F107" s="118">
        <f>20168515+140921864+25079939</f>
        <v>186170318</v>
      </c>
      <c r="G107" s="160"/>
      <c r="H107" s="120">
        <v>30000000</v>
      </c>
      <c r="I107" s="179" t="s">
        <v>40</v>
      </c>
      <c r="J107" s="74">
        <f t="shared" si="16"/>
        <v>186170318</v>
      </c>
      <c r="K107" s="17">
        <f t="shared" si="17"/>
        <v>30000000</v>
      </c>
    </row>
    <row r="108" spans="1:11" ht="15.95" customHeight="1" x14ac:dyDescent="0.2">
      <c r="A108" s="127">
        <f t="shared" si="18"/>
        <v>81</v>
      </c>
      <c r="B108" s="112">
        <f t="shared" si="19"/>
        <v>3</v>
      </c>
      <c r="C108" s="197">
        <v>35125</v>
      </c>
      <c r="D108" s="227" t="s">
        <v>192</v>
      </c>
      <c r="E108" s="116" t="s">
        <v>68</v>
      </c>
      <c r="F108" s="118">
        <f>1010413+1615881</f>
        <v>2626294</v>
      </c>
      <c r="G108" s="160"/>
      <c r="H108" s="120"/>
      <c r="I108" s="179"/>
      <c r="J108" s="74">
        <f t="shared" si="16"/>
        <v>2626294</v>
      </c>
      <c r="K108" s="17">
        <f t="shared" si="17"/>
        <v>0</v>
      </c>
    </row>
    <row r="109" spans="1:11" ht="15.95" customHeight="1" x14ac:dyDescent="0.2">
      <c r="A109" s="127">
        <f t="shared" si="18"/>
        <v>82</v>
      </c>
      <c r="B109" s="112">
        <f t="shared" si="19"/>
        <v>4</v>
      </c>
      <c r="C109" s="116" t="s">
        <v>193</v>
      </c>
      <c r="D109" s="227" t="s">
        <v>194</v>
      </c>
      <c r="E109" s="116" t="s">
        <v>81</v>
      </c>
      <c r="F109" s="118">
        <v>930000</v>
      </c>
      <c r="G109" s="160"/>
      <c r="H109" s="120"/>
      <c r="I109" s="180"/>
      <c r="J109" s="74">
        <f t="shared" si="16"/>
        <v>930000</v>
      </c>
      <c r="K109" s="17">
        <f t="shared" si="17"/>
        <v>0</v>
      </c>
    </row>
    <row r="110" spans="1:11" ht="15.95" customHeight="1" x14ac:dyDescent="0.2">
      <c r="A110" s="127">
        <f t="shared" si="18"/>
        <v>83</v>
      </c>
      <c r="B110" s="112">
        <f t="shared" si="19"/>
        <v>5</v>
      </c>
      <c r="C110" s="197">
        <v>35156</v>
      </c>
      <c r="D110" s="227" t="s">
        <v>195</v>
      </c>
      <c r="E110" s="116" t="s">
        <v>104</v>
      </c>
      <c r="F110" s="118">
        <f>287208.93/2.35</f>
        <v>122216.5659574468</v>
      </c>
      <c r="G110" s="160"/>
      <c r="H110" s="120"/>
      <c r="I110" s="179"/>
      <c r="J110" s="74">
        <f t="shared" si="16"/>
        <v>122216.5659574468</v>
      </c>
      <c r="K110" s="17">
        <f t="shared" si="17"/>
        <v>0</v>
      </c>
    </row>
    <row r="111" spans="1:11" ht="15.95" customHeight="1" x14ac:dyDescent="0.2">
      <c r="A111" s="127">
        <f t="shared" si="18"/>
        <v>84</v>
      </c>
      <c r="B111" s="112">
        <f t="shared" si="19"/>
        <v>6</v>
      </c>
      <c r="C111" s="128" t="s">
        <v>196</v>
      </c>
      <c r="D111" s="227" t="s">
        <v>197</v>
      </c>
      <c r="E111" s="116" t="s">
        <v>68</v>
      </c>
      <c r="F111" s="118">
        <v>16130000</v>
      </c>
      <c r="G111" s="160"/>
      <c r="H111" s="120"/>
      <c r="I111" s="179"/>
      <c r="J111" s="74">
        <f t="shared" si="16"/>
        <v>16130000</v>
      </c>
      <c r="K111" s="17">
        <f t="shared" si="17"/>
        <v>0</v>
      </c>
    </row>
    <row r="112" spans="1:11" ht="15.95" customHeight="1" x14ac:dyDescent="0.2">
      <c r="A112" s="127">
        <f t="shared" si="18"/>
        <v>85</v>
      </c>
      <c r="B112" s="112">
        <f t="shared" si="19"/>
        <v>7</v>
      </c>
      <c r="C112" s="116" t="s">
        <v>198</v>
      </c>
      <c r="D112" s="227" t="s">
        <v>199</v>
      </c>
      <c r="E112" s="116" t="s">
        <v>81</v>
      </c>
      <c r="F112" s="118">
        <v>134000</v>
      </c>
      <c r="G112" s="160"/>
      <c r="H112" s="120"/>
      <c r="I112" s="180"/>
      <c r="J112" s="74">
        <f t="shared" si="16"/>
        <v>134000</v>
      </c>
      <c r="K112" s="17">
        <f t="shared" si="17"/>
        <v>0</v>
      </c>
    </row>
    <row r="113" spans="1:11" ht="15.95" customHeight="1" x14ac:dyDescent="0.2">
      <c r="A113" s="127">
        <f t="shared" si="18"/>
        <v>86</v>
      </c>
      <c r="B113" s="112">
        <f t="shared" si="19"/>
        <v>8</v>
      </c>
      <c r="C113" s="116" t="s">
        <v>200</v>
      </c>
      <c r="D113" s="227" t="s">
        <v>201</v>
      </c>
      <c r="E113" s="116" t="s">
        <v>23</v>
      </c>
      <c r="F113" s="118">
        <v>180500000</v>
      </c>
      <c r="G113" s="160"/>
      <c r="H113" s="120">
        <v>50000000</v>
      </c>
      <c r="I113" s="179" t="s">
        <v>40</v>
      </c>
      <c r="J113" s="74">
        <f t="shared" si="16"/>
        <v>180500000</v>
      </c>
      <c r="K113" s="17">
        <f t="shared" si="17"/>
        <v>50000000</v>
      </c>
    </row>
    <row r="114" spans="1:11" ht="15.95" customHeight="1" x14ac:dyDescent="0.2">
      <c r="A114" s="127">
        <f t="shared" si="18"/>
        <v>87</v>
      </c>
      <c r="B114" s="112">
        <f t="shared" si="19"/>
        <v>9</v>
      </c>
      <c r="C114" s="116" t="s">
        <v>200</v>
      </c>
      <c r="D114" s="227" t="s">
        <v>202</v>
      </c>
      <c r="E114" s="116" t="s">
        <v>81</v>
      </c>
      <c r="F114" s="118">
        <v>178000</v>
      </c>
      <c r="G114" s="160"/>
      <c r="H114" s="120"/>
      <c r="I114" s="179"/>
      <c r="J114" s="74">
        <f t="shared" si="16"/>
        <v>178000</v>
      </c>
      <c r="K114" s="17">
        <f t="shared" si="17"/>
        <v>0</v>
      </c>
    </row>
    <row r="115" spans="1:11" ht="20.25" customHeight="1" x14ac:dyDescent="0.2">
      <c r="A115" s="127">
        <f t="shared" si="18"/>
        <v>88</v>
      </c>
      <c r="B115" s="112">
        <f t="shared" si="19"/>
        <v>10</v>
      </c>
      <c r="C115" s="116" t="s">
        <v>200</v>
      </c>
      <c r="D115" s="227" t="s">
        <v>203</v>
      </c>
      <c r="E115" s="116" t="s">
        <v>23</v>
      </c>
      <c r="F115" s="118">
        <v>142200000</v>
      </c>
      <c r="G115" s="160"/>
      <c r="H115" s="120">
        <v>25000000</v>
      </c>
      <c r="I115" s="179" t="s">
        <v>40</v>
      </c>
      <c r="J115" s="74"/>
      <c r="K115" s="17"/>
    </row>
    <row r="116" spans="1:11" ht="15.95" customHeight="1" x14ac:dyDescent="0.2">
      <c r="A116" s="127">
        <f t="shared" si="18"/>
        <v>89</v>
      </c>
      <c r="B116" s="112">
        <f t="shared" si="19"/>
        <v>11</v>
      </c>
      <c r="C116" s="116" t="s">
        <v>204</v>
      </c>
      <c r="D116" s="227" t="s">
        <v>205</v>
      </c>
      <c r="E116" s="116" t="s">
        <v>81</v>
      </c>
      <c r="F116" s="118">
        <f>+(6646.86+15658.44+48137.6+882+34301.96+4960.76+1470+37107.7)/0.98</f>
        <v>152209.51020408163</v>
      </c>
      <c r="G116" s="160"/>
      <c r="H116" s="120"/>
      <c r="I116" s="179"/>
      <c r="J116" s="74">
        <f t="shared" si="16"/>
        <v>152209.51020408163</v>
      </c>
      <c r="K116" s="17">
        <f t="shared" si="17"/>
        <v>0</v>
      </c>
    </row>
    <row r="117" spans="1:11" ht="15.95" customHeight="1" x14ac:dyDescent="0.2">
      <c r="A117" s="127">
        <f t="shared" si="18"/>
        <v>90</v>
      </c>
      <c r="B117" s="112">
        <f t="shared" si="19"/>
        <v>12</v>
      </c>
      <c r="C117" s="116" t="s">
        <v>206</v>
      </c>
      <c r="D117" s="227" t="s">
        <v>207</v>
      </c>
      <c r="E117" s="116" t="s">
        <v>104</v>
      </c>
      <c r="F117" s="118">
        <v>228200000</v>
      </c>
      <c r="G117" s="160"/>
      <c r="H117" s="120">
        <v>42000000</v>
      </c>
      <c r="I117" s="179" t="s">
        <v>40</v>
      </c>
      <c r="J117" s="74">
        <f t="shared" si="16"/>
        <v>228200000</v>
      </c>
      <c r="K117" s="17">
        <f t="shared" si="17"/>
        <v>42000000</v>
      </c>
    </row>
    <row r="118" spans="1:11" ht="15.95" customHeight="1" x14ac:dyDescent="0.2">
      <c r="A118" s="127">
        <f t="shared" si="18"/>
        <v>91</v>
      </c>
      <c r="B118" s="112">
        <f t="shared" si="19"/>
        <v>13</v>
      </c>
      <c r="C118" s="116" t="s">
        <v>208</v>
      </c>
      <c r="D118" s="227" t="s">
        <v>209</v>
      </c>
      <c r="E118" s="116" t="s">
        <v>104</v>
      </c>
      <c r="F118" s="118">
        <v>8616000</v>
      </c>
      <c r="G118" s="160"/>
      <c r="H118" s="120"/>
      <c r="I118" s="179"/>
      <c r="J118" s="74">
        <f t="shared" si="16"/>
        <v>8616000</v>
      </c>
      <c r="K118" s="17">
        <f t="shared" si="17"/>
        <v>0</v>
      </c>
    </row>
    <row r="119" spans="1:11" ht="15.95" customHeight="1" x14ac:dyDescent="0.2">
      <c r="A119" s="127">
        <f t="shared" si="18"/>
        <v>92</v>
      </c>
      <c r="B119" s="112">
        <f t="shared" si="19"/>
        <v>14</v>
      </c>
      <c r="C119" s="116" t="s">
        <v>210</v>
      </c>
      <c r="D119" s="227" t="s">
        <v>211</v>
      </c>
      <c r="E119" s="116" t="s">
        <v>212</v>
      </c>
      <c r="F119" s="118">
        <v>40853006.119999997</v>
      </c>
      <c r="G119" s="160"/>
      <c r="H119" s="120"/>
      <c r="I119" s="179"/>
      <c r="J119" s="74">
        <f t="shared" si="16"/>
        <v>40853006.119999997</v>
      </c>
      <c r="K119" s="17">
        <f t="shared" si="17"/>
        <v>0</v>
      </c>
    </row>
    <row r="120" spans="1:11" ht="15.95" customHeight="1" x14ac:dyDescent="0.2">
      <c r="A120" s="127">
        <f t="shared" si="18"/>
        <v>93</v>
      </c>
      <c r="B120" s="112">
        <f t="shared" si="19"/>
        <v>15</v>
      </c>
      <c r="C120" s="116" t="s">
        <v>213</v>
      </c>
      <c r="D120" s="227" t="s">
        <v>214</v>
      </c>
      <c r="E120" s="116" t="s">
        <v>212</v>
      </c>
      <c r="F120" s="118">
        <v>279954373.02999997</v>
      </c>
      <c r="G120" s="160"/>
      <c r="H120" s="120"/>
      <c r="I120" s="179"/>
      <c r="J120" s="74">
        <f t="shared" si="16"/>
        <v>279954373.02999997</v>
      </c>
      <c r="K120" s="17">
        <f t="shared" si="17"/>
        <v>0</v>
      </c>
    </row>
    <row r="121" spans="1:11" ht="15.95" customHeight="1" x14ac:dyDescent="0.2">
      <c r="A121" s="127">
        <f t="shared" si="18"/>
        <v>94</v>
      </c>
      <c r="B121" s="112">
        <f t="shared" si="19"/>
        <v>16</v>
      </c>
      <c r="C121" s="116" t="s">
        <v>215</v>
      </c>
      <c r="D121" s="227" t="s">
        <v>216</v>
      </c>
      <c r="E121" s="116" t="s">
        <v>212</v>
      </c>
      <c r="F121" s="118">
        <v>918246250</v>
      </c>
      <c r="G121" s="160"/>
      <c r="H121" s="120"/>
      <c r="I121" s="179"/>
      <c r="J121" s="74">
        <f t="shared" si="16"/>
        <v>918246250</v>
      </c>
      <c r="K121" s="17">
        <f t="shared" si="17"/>
        <v>0</v>
      </c>
    </row>
    <row r="122" spans="1:11" ht="15.95" customHeight="1" x14ac:dyDescent="0.2">
      <c r="A122" s="127">
        <f t="shared" si="18"/>
        <v>95</v>
      </c>
      <c r="B122" s="112">
        <f t="shared" si="19"/>
        <v>17</v>
      </c>
      <c r="C122" s="116" t="s">
        <v>217</v>
      </c>
      <c r="D122" s="227" t="s">
        <v>218</v>
      </c>
      <c r="E122" s="116" t="s">
        <v>14</v>
      </c>
      <c r="F122" s="118">
        <v>20000000</v>
      </c>
      <c r="G122" s="160"/>
      <c r="H122" s="120">
        <f>13200000+2506800000</f>
        <v>2520000000</v>
      </c>
      <c r="I122" s="180" t="s">
        <v>40</v>
      </c>
      <c r="J122" s="74">
        <f t="shared" si="16"/>
        <v>20000000</v>
      </c>
      <c r="K122" s="17">
        <f t="shared" si="17"/>
        <v>2520000000</v>
      </c>
    </row>
    <row r="123" spans="1:11" ht="15.95" customHeight="1" x14ac:dyDescent="0.2">
      <c r="A123" s="127">
        <f t="shared" si="18"/>
        <v>96</v>
      </c>
      <c r="B123" s="112">
        <f t="shared" si="19"/>
        <v>18</v>
      </c>
      <c r="C123" s="116" t="s">
        <v>219</v>
      </c>
      <c r="D123" s="227" t="s">
        <v>220</v>
      </c>
      <c r="E123" s="116" t="s">
        <v>81</v>
      </c>
      <c r="F123" s="118">
        <v>6500000</v>
      </c>
      <c r="G123" s="160"/>
      <c r="H123" s="120"/>
      <c r="I123" s="180"/>
      <c r="J123" s="74">
        <f t="shared" si="16"/>
        <v>6500000</v>
      </c>
      <c r="K123" s="17">
        <f t="shared" si="17"/>
        <v>0</v>
      </c>
    </row>
    <row r="124" spans="1:11" ht="15.95" customHeight="1" x14ac:dyDescent="0.2">
      <c r="A124" s="127">
        <f t="shared" si="18"/>
        <v>97</v>
      </c>
      <c r="B124" s="112">
        <f t="shared" si="19"/>
        <v>19</v>
      </c>
      <c r="C124" s="116" t="s">
        <v>219</v>
      </c>
      <c r="D124" s="227" t="s">
        <v>221</v>
      </c>
      <c r="E124" s="116" t="s">
        <v>81</v>
      </c>
      <c r="F124" s="118">
        <v>5807000</v>
      </c>
      <c r="G124" s="160"/>
      <c r="H124" s="120"/>
      <c r="I124" s="179"/>
      <c r="J124" s="74">
        <f t="shared" si="16"/>
        <v>5807000</v>
      </c>
      <c r="K124" s="17">
        <f t="shared" si="17"/>
        <v>0</v>
      </c>
    </row>
    <row r="125" spans="1:11" ht="15.95" customHeight="1" x14ac:dyDescent="0.2">
      <c r="A125" s="127">
        <f t="shared" si="18"/>
        <v>98</v>
      </c>
      <c r="B125" s="112">
        <f t="shared" si="19"/>
        <v>20</v>
      </c>
      <c r="C125" s="116" t="s">
        <v>222</v>
      </c>
      <c r="D125" s="227" t="s">
        <v>223</v>
      </c>
      <c r="E125" s="116" t="s">
        <v>104</v>
      </c>
      <c r="F125" s="119">
        <f>78938216.24/2.44</f>
        <v>32351727.967213113</v>
      </c>
      <c r="G125" s="161"/>
      <c r="H125" s="120"/>
      <c r="I125" s="179"/>
      <c r="J125" s="74">
        <f t="shared" si="16"/>
        <v>32351727.967213113</v>
      </c>
      <c r="K125" s="17">
        <f t="shared" si="17"/>
        <v>0</v>
      </c>
    </row>
    <row r="126" spans="1:11" ht="15.95" customHeight="1" x14ac:dyDescent="0.2">
      <c r="A126" s="127">
        <f t="shared" si="18"/>
        <v>99</v>
      </c>
      <c r="B126" s="112">
        <f t="shared" si="19"/>
        <v>21</v>
      </c>
      <c r="C126" s="116" t="s">
        <v>222</v>
      </c>
      <c r="D126" s="227" t="s">
        <v>224</v>
      </c>
      <c r="E126" s="116" t="s">
        <v>104</v>
      </c>
      <c r="F126" s="118">
        <f>182404995.4/2.44</f>
        <v>74756145.655737713</v>
      </c>
      <c r="G126" s="160"/>
      <c r="H126" s="120"/>
      <c r="I126" s="179"/>
      <c r="J126" s="74">
        <f t="shared" si="16"/>
        <v>74756145.655737713</v>
      </c>
      <c r="K126" s="17">
        <f t="shared" si="17"/>
        <v>0</v>
      </c>
    </row>
    <row r="127" spans="1:11" ht="15.95" customHeight="1" x14ac:dyDescent="0.2">
      <c r="A127" s="127">
        <f t="shared" si="18"/>
        <v>100</v>
      </c>
      <c r="B127" s="112">
        <f t="shared" si="19"/>
        <v>22</v>
      </c>
      <c r="C127" s="116" t="s">
        <v>225</v>
      </c>
      <c r="D127" s="227" t="s">
        <v>226</v>
      </c>
      <c r="E127" s="116" t="s">
        <v>23</v>
      </c>
      <c r="F127" s="118">
        <v>18856500</v>
      </c>
      <c r="G127" s="160"/>
      <c r="H127" s="120"/>
      <c r="I127" s="179"/>
      <c r="J127" s="74">
        <f t="shared" si="16"/>
        <v>18856500</v>
      </c>
      <c r="K127" s="17">
        <f t="shared" si="17"/>
        <v>0</v>
      </c>
    </row>
    <row r="128" spans="1:11" ht="15.95" customHeight="1" x14ac:dyDescent="0.2">
      <c r="A128" s="127">
        <f t="shared" si="18"/>
        <v>101</v>
      </c>
      <c r="B128" s="112">
        <f t="shared" si="19"/>
        <v>23</v>
      </c>
      <c r="C128" s="116" t="s">
        <v>227</v>
      </c>
      <c r="D128" s="227" t="s">
        <v>228</v>
      </c>
      <c r="E128" s="116" t="s">
        <v>81</v>
      </c>
      <c r="F128" s="118">
        <v>805000</v>
      </c>
      <c r="G128" s="160"/>
      <c r="H128" s="120"/>
      <c r="I128" s="179"/>
      <c r="J128" s="74">
        <f t="shared" si="16"/>
        <v>805000</v>
      </c>
      <c r="K128" s="17">
        <f t="shared" si="17"/>
        <v>0</v>
      </c>
    </row>
    <row r="129" spans="1:11" ht="15.95" customHeight="1" x14ac:dyDescent="0.2">
      <c r="A129" s="127">
        <f t="shared" si="18"/>
        <v>102</v>
      </c>
      <c r="B129" s="112">
        <f t="shared" si="19"/>
        <v>24</v>
      </c>
      <c r="C129" s="116" t="s">
        <v>229</v>
      </c>
      <c r="D129" s="227" t="s">
        <v>230</v>
      </c>
      <c r="E129" s="116" t="s">
        <v>104</v>
      </c>
      <c r="F129" s="118">
        <f>99428287.35*0.1977</f>
        <v>19656972.409094997</v>
      </c>
      <c r="G129" s="160"/>
      <c r="H129" s="120"/>
      <c r="I129" s="179"/>
      <c r="J129" s="74">
        <f t="shared" si="16"/>
        <v>19656972.409094997</v>
      </c>
      <c r="K129" s="17">
        <f t="shared" si="17"/>
        <v>0</v>
      </c>
    </row>
    <row r="130" spans="1:11" ht="15.95" customHeight="1" x14ac:dyDescent="0.2">
      <c r="A130" s="127">
        <f t="shared" si="18"/>
        <v>103</v>
      </c>
      <c r="B130" s="112">
        <f t="shared" si="19"/>
        <v>25</v>
      </c>
      <c r="C130" s="116" t="s">
        <v>231</v>
      </c>
      <c r="D130" s="227" t="s">
        <v>232</v>
      </c>
      <c r="E130" s="116" t="s">
        <v>68</v>
      </c>
      <c r="F130" s="118">
        <f>6760000-536216.95+162470.07-24783.57</f>
        <v>6361469.5499999998</v>
      </c>
      <c r="G130" s="160"/>
      <c r="H130" s="120"/>
      <c r="I130" s="179"/>
      <c r="J130" s="74">
        <f t="shared" si="16"/>
        <v>6361469.5499999998</v>
      </c>
      <c r="K130" s="17">
        <f t="shared" si="17"/>
        <v>0</v>
      </c>
    </row>
    <row r="131" spans="1:11" ht="15.95" customHeight="1" x14ac:dyDescent="0.2">
      <c r="A131" s="127">
        <f t="shared" si="18"/>
        <v>104</v>
      </c>
      <c r="B131" s="112">
        <f t="shared" si="19"/>
        <v>26</v>
      </c>
      <c r="C131" s="116" t="s">
        <v>233</v>
      </c>
      <c r="D131" s="227" t="s">
        <v>234</v>
      </c>
      <c r="E131" s="116" t="s">
        <v>104</v>
      </c>
      <c r="F131" s="118">
        <f>8833791.6/2.569</f>
        <v>3438610.9770338652</v>
      </c>
      <c r="G131" s="160"/>
      <c r="H131" s="120"/>
      <c r="I131" s="179"/>
      <c r="J131" s="74">
        <f t="shared" si="16"/>
        <v>3438610.9770338652</v>
      </c>
      <c r="K131" s="17">
        <f t="shared" si="17"/>
        <v>0</v>
      </c>
    </row>
    <row r="132" spans="1:11" ht="15.95" customHeight="1" x14ac:dyDescent="0.2">
      <c r="A132" s="127">
        <f t="shared" si="18"/>
        <v>105</v>
      </c>
      <c r="B132" s="112">
        <f t="shared" si="19"/>
        <v>27</v>
      </c>
      <c r="C132" s="116" t="s">
        <v>235</v>
      </c>
      <c r="D132" s="227" t="s">
        <v>236</v>
      </c>
      <c r="E132" s="116" t="s">
        <v>23</v>
      </c>
      <c r="F132" s="118">
        <v>202000000</v>
      </c>
      <c r="G132" s="160"/>
      <c r="H132" s="120">
        <v>25000000</v>
      </c>
      <c r="I132" s="180" t="s">
        <v>40</v>
      </c>
      <c r="J132" s="74">
        <f>+F132</f>
        <v>202000000</v>
      </c>
      <c r="K132" s="17">
        <f>+H132</f>
        <v>25000000</v>
      </c>
    </row>
    <row r="133" spans="1:11" ht="15.95" customHeight="1" x14ac:dyDescent="0.2">
      <c r="A133" s="127">
        <f t="shared" si="18"/>
        <v>106</v>
      </c>
      <c r="B133" s="112">
        <f t="shared" si="19"/>
        <v>28</v>
      </c>
      <c r="C133" s="116" t="s">
        <v>237</v>
      </c>
      <c r="D133" s="227" t="s">
        <v>238</v>
      </c>
      <c r="E133" s="116" t="s">
        <v>104</v>
      </c>
      <c r="F133" s="118">
        <f>17252431.56/2.585</f>
        <v>6674054.762088974</v>
      </c>
      <c r="G133" s="160"/>
      <c r="H133" s="120"/>
      <c r="I133" s="179"/>
      <c r="J133" s="74">
        <f t="shared" si="16"/>
        <v>6674054.762088974</v>
      </c>
      <c r="K133" s="17">
        <f t="shared" si="17"/>
        <v>0</v>
      </c>
    </row>
    <row r="134" spans="1:11" ht="15.95" customHeight="1" x14ac:dyDescent="0.2">
      <c r="A134" s="127">
        <f t="shared" si="18"/>
        <v>107</v>
      </c>
      <c r="B134" s="112">
        <f t="shared" si="19"/>
        <v>29</v>
      </c>
      <c r="C134" s="116" t="s">
        <v>239</v>
      </c>
      <c r="D134" s="227" t="s">
        <v>240</v>
      </c>
      <c r="E134" s="116" t="s">
        <v>104</v>
      </c>
      <c r="F134" s="118">
        <f>94370587.92/2.6</f>
        <v>36296379.969230771</v>
      </c>
      <c r="G134" s="160"/>
      <c r="H134" s="120"/>
      <c r="I134" s="179"/>
      <c r="J134" s="74">
        <f t="shared" si="16"/>
        <v>36296379.969230771</v>
      </c>
      <c r="K134" s="17">
        <f t="shared" si="17"/>
        <v>0</v>
      </c>
    </row>
    <row r="135" spans="1:11" ht="15.95" customHeight="1" x14ac:dyDescent="0.2">
      <c r="A135" s="127">
        <f t="shared" si="18"/>
        <v>108</v>
      </c>
      <c r="B135" s="112">
        <f t="shared" si="19"/>
        <v>30</v>
      </c>
      <c r="C135" s="116" t="s">
        <v>241</v>
      </c>
      <c r="D135" s="227" t="s">
        <v>242</v>
      </c>
      <c r="E135" s="116" t="s">
        <v>81</v>
      </c>
      <c r="F135" s="118">
        <v>5751333</v>
      </c>
      <c r="G135" s="160"/>
      <c r="H135" s="120"/>
      <c r="I135" s="179"/>
      <c r="J135" s="74">
        <f t="shared" si="16"/>
        <v>5751333</v>
      </c>
      <c r="K135" s="17">
        <f t="shared" si="17"/>
        <v>0</v>
      </c>
    </row>
    <row r="136" spans="1:11" ht="15.95" customHeight="1" x14ac:dyDescent="0.2">
      <c r="A136" s="127">
        <f t="shared" si="18"/>
        <v>109</v>
      </c>
      <c r="B136" s="112">
        <f t="shared" si="19"/>
        <v>31</v>
      </c>
      <c r="C136" s="116" t="s">
        <v>243</v>
      </c>
      <c r="D136" s="227" t="s">
        <v>244</v>
      </c>
      <c r="E136" s="116" t="s">
        <v>104</v>
      </c>
      <c r="F136" s="118">
        <f>23999994</f>
        <v>23999994</v>
      </c>
      <c r="G136" s="160"/>
      <c r="H136" s="120"/>
      <c r="I136" s="179"/>
      <c r="J136" s="74">
        <f t="shared" si="16"/>
        <v>23999994</v>
      </c>
      <c r="K136" s="17">
        <f t="shared" si="17"/>
        <v>0</v>
      </c>
    </row>
    <row r="137" spans="1:11" ht="15.95" customHeight="1" x14ac:dyDescent="0.2">
      <c r="A137" s="127">
        <f t="shared" si="18"/>
        <v>110</v>
      </c>
      <c r="B137" s="112">
        <f t="shared" si="19"/>
        <v>32</v>
      </c>
      <c r="C137" s="116" t="s">
        <v>243</v>
      </c>
      <c r="D137" s="227" t="s">
        <v>245</v>
      </c>
      <c r="E137" s="116" t="s">
        <v>104</v>
      </c>
      <c r="F137" s="118">
        <f>108209942.3/2.584</f>
        <v>41876912.654798761</v>
      </c>
      <c r="G137" s="160"/>
      <c r="H137" s="120"/>
      <c r="I137" s="179"/>
      <c r="J137" s="74">
        <f t="shared" si="16"/>
        <v>41876912.654798761</v>
      </c>
      <c r="K137" s="17">
        <f t="shared" si="17"/>
        <v>0</v>
      </c>
    </row>
    <row r="138" spans="1:11" ht="15.95" customHeight="1" x14ac:dyDescent="0.2">
      <c r="A138" s="127">
        <f t="shared" si="18"/>
        <v>111</v>
      </c>
      <c r="B138" s="112">
        <f t="shared" si="19"/>
        <v>33</v>
      </c>
      <c r="C138" s="116" t="s">
        <v>243</v>
      </c>
      <c r="D138" s="227" t="s">
        <v>246</v>
      </c>
      <c r="E138" s="116" t="s">
        <v>104</v>
      </c>
      <c r="F138" s="118">
        <f>249619444.71/2.584</f>
        <v>96601952.287151709</v>
      </c>
      <c r="G138" s="160"/>
      <c r="H138" s="120"/>
      <c r="I138" s="179"/>
      <c r="J138" s="74">
        <f t="shared" si="16"/>
        <v>96601952.287151709</v>
      </c>
      <c r="K138" s="17">
        <f t="shared" si="17"/>
        <v>0</v>
      </c>
    </row>
    <row r="139" spans="1:11" ht="15.95" customHeight="1" x14ac:dyDescent="0.2">
      <c r="A139" s="127">
        <f t="shared" si="18"/>
        <v>112</v>
      </c>
      <c r="B139" s="112">
        <f t="shared" si="19"/>
        <v>34</v>
      </c>
      <c r="C139" s="116" t="s">
        <v>247</v>
      </c>
      <c r="D139" s="227" t="s">
        <v>248</v>
      </c>
      <c r="E139" s="116" t="s">
        <v>81</v>
      </c>
      <c r="F139" s="118">
        <v>6038733</v>
      </c>
      <c r="G139" s="160"/>
      <c r="H139" s="120"/>
      <c r="I139" s="180"/>
      <c r="J139" s="74">
        <f t="shared" si="16"/>
        <v>6038733</v>
      </c>
      <c r="K139" s="17">
        <f t="shared" si="17"/>
        <v>0</v>
      </c>
    </row>
    <row r="140" spans="1:11" ht="15.95" customHeight="1" x14ac:dyDescent="0.2">
      <c r="A140" s="127">
        <f t="shared" si="18"/>
        <v>113</v>
      </c>
      <c r="B140" s="112">
        <f t="shared" si="19"/>
        <v>35</v>
      </c>
      <c r="C140" s="116" t="s">
        <v>247</v>
      </c>
      <c r="D140" s="227" t="s">
        <v>249</v>
      </c>
      <c r="E140" s="116" t="s">
        <v>81</v>
      </c>
      <c r="F140" s="118">
        <v>5105109</v>
      </c>
      <c r="G140" s="160"/>
      <c r="H140" s="120"/>
      <c r="I140" s="179"/>
      <c r="J140" s="74">
        <f t="shared" si="16"/>
        <v>5105109</v>
      </c>
      <c r="K140" s="17">
        <f t="shared" si="17"/>
        <v>0</v>
      </c>
    </row>
    <row r="141" spans="1:11" ht="15.95" customHeight="1" x14ac:dyDescent="0.2">
      <c r="A141" s="127">
        <f t="shared" si="18"/>
        <v>114</v>
      </c>
      <c r="B141" s="112">
        <f t="shared" si="19"/>
        <v>36</v>
      </c>
      <c r="C141" s="128" t="s">
        <v>247</v>
      </c>
      <c r="D141" s="227" t="s">
        <v>250</v>
      </c>
      <c r="E141" s="116" t="s">
        <v>81</v>
      </c>
      <c r="F141" s="118">
        <v>5017000</v>
      </c>
      <c r="G141" s="160"/>
      <c r="H141" s="120"/>
      <c r="I141" s="179"/>
      <c r="J141" s="74">
        <f t="shared" si="16"/>
        <v>5017000</v>
      </c>
      <c r="K141" s="17">
        <f t="shared" si="17"/>
        <v>0</v>
      </c>
    </row>
    <row r="142" spans="1:11" ht="15.95" customHeight="1" x14ac:dyDescent="0.2">
      <c r="A142" s="129">
        <f t="shared" si="18"/>
        <v>115</v>
      </c>
      <c r="B142" s="130">
        <f t="shared" si="19"/>
        <v>37</v>
      </c>
      <c r="C142" s="131" t="s">
        <v>247</v>
      </c>
      <c r="D142" s="229" t="s">
        <v>251</v>
      </c>
      <c r="E142" s="131" t="s">
        <v>81</v>
      </c>
      <c r="F142" s="132">
        <v>2840000</v>
      </c>
      <c r="G142" s="162"/>
      <c r="H142" s="133"/>
      <c r="I142" s="182"/>
      <c r="J142" s="74">
        <f t="shared" si="16"/>
        <v>2840000</v>
      </c>
      <c r="K142" s="17">
        <f t="shared" si="17"/>
        <v>0</v>
      </c>
    </row>
    <row r="143" spans="1:11" ht="15.95" customHeight="1" x14ac:dyDescent="0.2">
      <c r="A143" s="16" t="s">
        <v>252</v>
      </c>
      <c r="B143" s="52"/>
      <c r="C143" s="66"/>
      <c r="D143" s="230"/>
      <c r="E143" s="66"/>
      <c r="F143" s="108">
        <f>SUM(F106:F142)</f>
        <v>2625959062.4585118</v>
      </c>
      <c r="G143" s="157"/>
      <c r="H143" s="134">
        <f>SUM(H106:H142)</f>
        <v>2692000000</v>
      </c>
      <c r="I143" s="183"/>
      <c r="J143" s="74"/>
      <c r="K143" s="17"/>
    </row>
    <row r="144" spans="1:11" ht="15.95" customHeight="1" x14ac:dyDescent="0.2">
      <c r="A144" s="257">
        <v>1997</v>
      </c>
      <c r="B144" s="258"/>
      <c r="C144" s="258"/>
      <c r="D144" s="258"/>
      <c r="E144" s="258"/>
      <c r="F144" s="258"/>
      <c r="G144" s="258"/>
      <c r="H144" s="258"/>
      <c r="I144" s="259"/>
      <c r="J144" s="74">
        <f t="shared" ref="J144:J176" si="20">+F144</f>
        <v>0</v>
      </c>
      <c r="K144" s="17">
        <f t="shared" ref="K144:K176" si="21">+H144</f>
        <v>0</v>
      </c>
    </row>
    <row r="145" spans="1:111" ht="15.95" customHeight="1" x14ac:dyDescent="0.2">
      <c r="A145" s="99">
        <f>A142+1</f>
        <v>116</v>
      </c>
      <c r="B145" s="100">
        <v>1</v>
      </c>
      <c r="C145" s="103" t="s">
        <v>253</v>
      </c>
      <c r="D145" s="223" t="s">
        <v>254</v>
      </c>
      <c r="E145" s="103" t="s">
        <v>104</v>
      </c>
      <c r="F145" s="117">
        <f>51283000*0.5</f>
        <v>25641500</v>
      </c>
      <c r="G145" s="159"/>
      <c r="H145" s="105">
        <f>51283000*0.5</f>
        <v>25641500</v>
      </c>
      <c r="I145" s="176" t="s">
        <v>40</v>
      </c>
      <c r="J145" s="74">
        <f t="shared" si="20"/>
        <v>25641500</v>
      </c>
      <c r="K145" s="17">
        <f t="shared" si="21"/>
        <v>25641500</v>
      </c>
    </row>
    <row r="146" spans="1:111" ht="15.95" customHeight="1" x14ac:dyDescent="0.2">
      <c r="A146" s="127">
        <f t="shared" ref="A146:B148" si="22">A145+1</f>
        <v>117</v>
      </c>
      <c r="B146" s="112">
        <f t="shared" si="22"/>
        <v>2</v>
      </c>
      <c r="C146" s="116" t="s">
        <v>255</v>
      </c>
      <c r="D146" s="227" t="s">
        <v>256</v>
      </c>
      <c r="E146" s="116" t="s">
        <v>14</v>
      </c>
      <c r="F146" s="118">
        <f>8050000+457416.04</f>
        <v>8507416.0399999991</v>
      </c>
      <c r="G146" s="160"/>
      <c r="H146" s="120">
        <v>110200000</v>
      </c>
      <c r="I146" s="179" t="s">
        <v>40</v>
      </c>
      <c r="J146" s="74">
        <f t="shared" si="20"/>
        <v>8507416.0399999991</v>
      </c>
      <c r="K146" s="17">
        <f t="shared" si="21"/>
        <v>110200000</v>
      </c>
    </row>
    <row r="147" spans="1:111" ht="15.95" customHeight="1" x14ac:dyDescent="0.2">
      <c r="A147" s="127">
        <f t="shared" si="22"/>
        <v>118</v>
      </c>
      <c r="B147" s="112">
        <f t="shared" si="22"/>
        <v>3</v>
      </c>
      <c r="C147" s="116" t="s">
        <v>255</v>
      </c>
      <c r="D147" s="227" t="s">
        <v>257</v>
      </c>
      <c r="E147" s="116" t="s">
        <v>14</v>
      </c>
      <c r="F147" s="118">
        <v>1050000</v>
      </c>
      <c r="G147" s="160"/>
      <c r="H147" s="120"/>
      <c r="I147" s="179"/>
      <c r="J147" s="74">
        <f t="shared" si="20"/>
        <v>1050000</v>
      </c>
      <c r="K147" s="17">
        <f t="shared" si="21"/>
        <v>0</v>
      </c>
    </row>
    <row r="148" spans="1:111" ht="15.95" customHeight="1" x14ac:dyDescent="0.2">
      <c r="A148" s="127">
        <f t="shared" si="22"/>
        <v>119</v>
      </c>
      <c r="B148" s="112">
        <f t="shared" si="22"/>
        <v>4</v>
      </c>
      <c r="C148" s="116" t="s">
        <v>258</v>
      </c>
      <c r="D148" s="227" t="s">
        <v>259</v>
      </c>
      <c r="E148" s="116" t="s">
        <v>260</v>
      </c>
      <c r="F148" s="118">
        <v>16000000</v>
      </c>
      <c r="G148" s="160"/>
      <c r="H148" s="120"/>
      <c r="I148" s="180"/>
      <c r="J148" s="74">
        <f t="shared" si="20"/>
        <v>16000000</v>
      </c>
      <c r="K148" s="17">
        <f t="shared" si="21"/>
        <v>0</v>
      </c>
    </row>
    <row r="149" spans="1:111" ht="15.95" customHeight="1" x14ac:dyDescent="0.2">
      <c r="A149" s="127">
        <f t="shared" ref="A149:B152" si="23">+A148+1</f>
        <v>120</v>
      </c>
      <c r="B149" s="112">
        <f t="shared" si="23"/>
        <v>5</v>
      </c>
      <c r="C149" s="116" t="s">
        <v>261</v>
      </c>
      <c r="D149" s="227" t="s">
        <v>262</v>
      </c>
      <c r="E149" s="116" t="s">
        <v>68</v>
      </c>
      <c r="F149" s="118">
        <v>1086403.3899999999</v>
      </c>
      <c r="G149" s="160"/>
      <c r="H149" s="120"/>
      <c r="I149" s="179"/>
      <c r="J149" s="74">
        <f t="shared" si="20"/>
        <v>1086403.3899999999</v>
      </c>
      <c r="K149" s="17">
        <f t="shared" si="21"/>
        <v>0</v>
      </c>
    </row>
    <row r="150" spans="1:111" ht="15.95" customHeight="1" x14ac:dyDescent="0.2">
      <c r="A150" s="127">
        <f t="shared" si="23"/>
        <v>121</v>
      </c>
      <c r="B150" s="112">
        <f t="shared" si="23"/>
        <v>6</v>
      </c>
      <c r="C150" s="128" t="s">
        <v>263</v>
      </c>
      <c r="D150" s="227" t="s">
        <v>264</v>
      </c>
      <c r="E150" s="116" t="s">
        <v>68</v>
      </c>
      <c r="F150" s="118">
        <v>13041016.949999999</v>
      </c>
      <c r="G150" s="160"/>
      <c r="H150" s="120"/>
      <c r="I150" s="179"/>
      <c r="J150" s="74">
        <f t="shared" si="20"/>
        <v>13041016.949999999</v>
      </c>
      <c r="K150" s="17">
        <f t="shared" si="21"/>
        <v>0</v>
      </c>
    </row>
    <row r="151" spans="1:111" ht="15.95" customHeight="1" x14ac:dyDescent="0.2">
      <c r="A151" s="127">
        <f t="shared" si="23"/>
        <v>122</v>
      </c>
      <c r="B151" s="112">
        <f t="shared" si="23"/>
        <v>7</v>
      </c>
      <c r="C151" s="116" t="s">
        <v>265</v>
      </c>
      <c r="D151" s="227" t="s">
        <v>266</v>
      </c>
      <c r="E151" s="116" t="s">
        <v>81</v>
      </c>
      <c r="F151" s="118">
        <v>5801777</v>
      </c>
      <c r="G151" s="160"/>
      <c r="H151" s="120"/>
      <c r="I151" s="180"/>
      <c r="J151" s="74">
        <f t="shared" si="20"/>
        <v>5801777</v>
      </c>
      <c r="K151" s="17">
        <f t="shared" si="21"/>
        <v>0</v>
      </c>
    </row>
    <row r="152" spans="1:111" ht="15.95" customHeight="1" x14ac:dyDescent="0.2">
      <c r="A152" s="127">
        <f t="shared" si="23"/>
        <v>123</v>
      </c>
      <c r="B152" s="112">
        <f t="shared" si="23"/>
        <v>8</v>
      </c>
      <c r="C152" s="116" t="s">
        <v>265</v>
      </c>
      <c r="D152" s="227" t="s">
        <v>267</v>
      </c>
      <c r="E152" s="116" t="s">
        <v>81</v>
      </c>
      <c r="F152" s="118">
        <v>5555000</v>
      </c>
      <c r="G152" s="160"/>
      <c r="H152" s="120"/>
      <c r="I152" s="179"/>
      <c r="J152" s="74">
        <f t="shared" si="20"/>
        <v>5555000</v>
      </c>
      <c r="K152" s="17">
        <f t="shared" si="21"/>
        <v>0</v>
      </c>
    </row>
    <row r="153" spans="1:111" ht="15.95" customHeight="1" x14ac:dyDescent="0.2">
      <c r="A153" s="127">
        <f t="shared" ref="A153:B159" si="24">A152+1</f>
        <v>124</v>
      </c>
      <c r="B153" s="112">
        <f t="shared" si="24"/>
        <v>9</v>
      </c>
      <c r="C153" s="116" t="s">
        <v>268</v>
      </c>
      <c r="D153" s="227" t="s">
        <v>269</v>
      </c>
      <c r="E153" s="116" t="s">
        <v>81</v>
      </c>
      <c r="F153" s="118">
        <v>870000</v>
      </c>
      <c r="G153" s="160"/>
      <c r="H153" s="120"/>
      <c r="I153" s="179"/>
      <c r="J153" s="74">
        <f t="shared" si="20"/>
        <v>870000</v>
      </c>
      <c r="K153" s="17">
        <f t="shared" si="21"/>
        <v>0</v>
      </c>
    </row>
    <row r="154" spans="1:111" ht="15.95" customHeight="1" x14ac:dyDescent="0.2">
      <c r="A154" s="127">
        <f t="shared" si="24"/>
        <v>125</v>
      </c>
      <c r="B154" s="112">
        <f t="shared" si="24"/>
        <v>10</v>
      </c>
      <c r="C154" s="116" t="s">
        <v>270</v>
      </c>
      <c r="D154" s="227" t="s">
        <v>271</v>
      </c>
      <c r="E154" s="116" t="s">
        <v>14</v>
      </c>
      <c r="F154" s="118">
        <f>105000+840000</f>
        <v>945000</v>
      </c>
      <c r="G154" s="160"/>
      <c r="H154" s="120">
        <v>1900000</v>
      </c>
      <c r="I154" s="179" t="s">
        <v>40</v>
      </c>
      <c r="J154" s="74">
        <f t="shared" si="20"/>
        <v>945000</v>
      </c>
      <c r="K154" s="17">
        <f t="shared" si="21"/>
        <v>1900000</v>
      </c>
    </row>
    <row r="155" spans="1:111" ht="15.95" customHeight="1" x14ac:dyDescent="0.2">
      <c r="A155" s="127">
        <f t="shared" si="24"/>
        <v>126</v>
      </c>
      <c r="B155" s="112">
        <f t="shared" si="24"/>
        <v>11</v>
      </c>
      <c r="C155" s="116" t="s">
        <v>272</v>
      </c>
      <c r="D155" s="227" t="s">
        <v>273</v>
      </c>
      <c r="E155" s="116" t="s">
        <v>81</v>
      </c>
      <c r="F155" s="118">
        <v>7500010</v>
      </c>
      <c r="G155" s="160"/>
      <c r="H155" s="120"/>
      <c r="I155" s="179"/>
      <c r="J155" s="74">
        <f t="shared" si="20"/>
        <v>7500010</v>
      </c>
      <c r="K155" s="17">
        <f t="shared" si="21"/>
        <v>0</v>
      </c>
    </row>
    <row r="156" spans="1:111" ht="15.95" customHeight="1" x14ac:dyDescent="0.2">
      <c r="A156" s="127">
        <f t="shared" si="24"/>
        <v>127</v>
      </c>
      <c r="B156" s="112">
        <f t="shared" si="24"/>
        <v>12</v>
      </c>
      <c r="C156" s="116" t="s">
        <v>272</v>
      </c>
      <c r="D156" s="227" t="s">
        <v>274</v>
      </c>
      <c r="E156" s="116" t="s">
        <v>81</v>
      </c>
      <c r="F156" s="118">
        <v>7040000</v>
      </c>
      <c r="G156" s="160"/>
      <c r="H156" s="120"/>
      <c r="I156" s="179"/>
      <c r="J156" s="74">
        <f t="shared" si="20"/>
        <v>7040000</v>
      </c>
      <c r="K156" s="17">
        <f t="shared" si="21"/>
        <v>0</v>
      </c>
    </row>
    <row r="157" spans="1:111" ht="15.95" customHeight="1" x14ac:dyDescent="0.2">
      <c r="A157" s="127">
        <f t="shared" si="24"/>
        <v>128</v>
      </c>
      <c r="B157" s="112">
        <f t="shared" si="24"/>
        <v>13</v>
      </c>
      <c r="C157" s="116" t="s">
        <v>272</v>
      </c>
      <c r="D157" s="227" t="s">
        <v>275</v>
      </c>
      <c r="E157" s="116" t="s">
        <v>68</v>
      </c>
      <c r="F157" s="118">
        <v>737711.86</v>
      </c>
      <c r="G157" s="160"/>
      <c r="H157" s="120"/>
      <c r="I157" s="179"/>
      <c r="J157" s="74">
        <f t="shared" si="20"/>
        <v>737711.86</v>
      </c>
      <c r="K157" s="17">
        <f t="shared" si="21"/>
        <v>0</v>
      </c>
    </row>
    <row r="158" spans="1:111" s="24" customFormat="1" ht="15.95" customHeight="1" x14ac:dyDescent="0.2">
      <c r="A158" s="127">
        <f t="shared" si="24"/>
        <v>129</v>
      </c>
      <c r="B158" s="112">
        <f t="shared" si="24"/>
        <v>14</v>
      </c>
      <c r="C158" s="116" t="s">
        <v>276</v>
      </c>
      <c r="D158" s="227" t="s">
        <v>277</v>
      </c>
      <c r="E158" s="116" t="s">
        <v>14</v>
      </c>
      <c r="F158" s="118">
        <v>121521329</v>
      </c>
      <c r="G158" s="160"/>
      <c r="H158" s="120"/>
      <c r="I158" s="179"/>
      <c r="J158" s="74">
        <f t="shared" si="20"/>
        <v>121521329</v>
      </c>
      <c r="K158" s="17">
        <f t="shared" si="21"/>
        <v>0</v>
      </c>
      <c r="L158" s="11"/>
      <c r="M158" s="11"/>
      <c r="N158" s="11"/>
      <c r="O158" s="11"/>
      <c r="P158" s="11"/>
      <c r="Q158" s="11"/>
      <c r="R158" s="11"/>
      <c r="S158" s="8"/>
      <c r="T158" s="8"/>
      <c r="U158" s="8"/>
      <c r="V158" s="8"/>
      <c r="W158" s="8"/>
      <c r="X158" s="8"/>
      <c r="Y158" s="8"/>
      <c r="Z158" s="8"/>
      <c r="AA158" s="8"/>
      <c r="AB158" s="8"/>
      <c r="AC158" s="8"/>
      <c r="AD158" s="8"/>
      <c r="AE158" s="8"/>
      <c r="AF158" s="8"/>
      <c r="AG158" s="8"/>
      <c r="AH158" s="8"/>
      <c r="AI158" s="8"/>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row>
    <row r="159" spans="1:111" s="25" customFormat="1" ht="15.95" customHeight="1" x14ac:dyDescent="0.2">
      <c r="A159" s="127">
        <f t="shared" si="24"/>
        <v>130</v>
      </c>
      <c r="B159" s="112">
        <f t="shared" si="24"/>
        <v>15</v>
      </c>
      <c r="C159" s="116" t="s">
        <v>278</v>
      </c>
      <c r="D159" s="227" t="s">
        <v>279</v>
      </c>
      <c r="E159" s="116" t="s">
        <v>14</v>
      </c>
      <c r="F159" s="118">
        <v>127777777</v>
      </c>
      <c r="G159" s="160"/>
      <c r="H159" s="120">
        <v>60000000</v>
      </c>
      <c r="I159" s="179" t="s">
        <v>40</v>
      </c>
      <c r="J159" s="74">
        <f t="shared" si="20"/>
        <v>127777777</v>
      </c>
      <c r="K159" s="17">
        <f t="shared" si="21"/>
        <v>60000000</v>
      </c>
      <c r="L159" s="11"/>
      <c r="M159" s="11"/>
      <c r="N159" s="11"/>
      <c r="O159" s="11"/>
      <c r="P159" s="11"/>
      <c r="Q159" s="11"/>
      <c r="R159" s="11"/>
      <c r="S159" s="8"/>
      <c r="T159" s="8"/>
      <c r="U159" s="8"/>
      <c r="V159" s="8"/>
      <c r="W159" s="8"/>
      <c r="X159" s="8"/>
      <c r="Y159" s="8"/>
      <c r="Z159" s="8"/>
      <c r="AA159" s="8"/>
      <c r="AB159" s="8"/>
      <c r="AC159" s="8"/>
      <c r="AD159" s="8"/>
      <c r="AE159" s="8"/>
      <c r="AF159" s="8"/>
      <c r="AG159" s="8"/>
      <c r="AH159" s="8"/>
      <c r="AI159" s="8"/>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row>
    <row r="160" spans="1:111" ht="15.95" customHeight="1" x14ac:dyDescent="0.2">
      <c r="A160" s="127">
        <f t="shared" ref="A160:A170" si="25">+A159+1</f>
        <v>131</v>
      </c>
      <c r="B160" s="112">
        <f t="shared" ref="B160:B170" si="26">+B159+1</f>
        <v>16</v>
      </c>
      <c r="C160" s="116" t="s">
        <v>280</v>
      </c>
      <c r="D160" s="227" t="s">
        <v>281</v>
      </c>
      <c r="E160" s="116" t="s">
        <v>81</v>
      </c>
      <c r="F160" s="118">
        <v>8766666</v>
      </c>
      <c r="G160" s="160"/>
      <c r="H160" s="120"/>
      <c r="I160" s="179"/>
      <c r="J160" s="74">
        <f t="shared" si="20"/>
        <v>8766666</v>
      </c>
      <c r="K160" s="17">
        <f t="shared" si="21"/>
        <v>0</v>
      </c>
    </row>
    <row r="161" spans="1:111" s="26" customFormat="1" ht="15.95" customHeight="1" x14ac:dyDescent="0.2">
      <c r="A161" s="127">
        <f t="shared" si="25"/>
        <v>132</v>
      </c>
      <c r="B161" s="112">
        <f t="shared" si="26"/>
        <v>17</v>
      </c>
      <c r="C161" s="116" t="s">
        <v>282</v>
      </c>
      <c r="D161" s="227" t="s">
        <v>283</v>
      </c>
      <c r="E161" s="116" t="s">
        <v>68</v>
      </c>
      <c r="F161" s="118">
        <f>4559+20000+35116+3050000</f>
        <v>3109675</v>
      </c>
      <c r="G161" s="160"/>
      <c r="H161" s="120"/>
      <c r="I161" s="180"/>
      <c r="J161" s="74">
        <f t="shared" si="20"/>
        <v>3109675</v>
      </c>
      <c r="K161" s="17">
        <f t="shared" si="21"/>
        <v>0</v>
      </c>
      <c r="L161" s="11"/>
      <c r="M161" s="11"/>
      <c r="N161" s="11"/>
      <c r="O161" s="11"/>
      <c r="P161" s="11"/>
      <c r="Q161" s="11"/>
      <c r="R161" s="11"/>
      <c r="S161" s="8"/>
      <c r="T161" s="8"/>
      <c r="U161" s="8"/>
      <c r="V161" s="8"/>
      <c r="W161" s="8"/>
      <c r="X161" s="8"/>
      <c r="Y161" s="8"/>
      <c r="Z161" s="8"/>
      <c r="AA161" s="8"/>
      <c r="AB161" s="8"/>
      <c r="AC161" s="8"/>
      <c r="AD161" s="8"/>
      <c r="AE161" s="8"/>
      <c r="AF161" s="8"/>
      <c r="AG161" s="8"/>
      <c r="AH161" s="8"/>
      <c r="AI161" s="8"/>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row>
    <row r="162" spans="1:111" s="26" customFormat="1" ht="15.95" customHeight="1" x14ac:dyDescent="0.2">
      <c r="A162" s="127">
        <f t="shared" si="25"/>
        <v>133</v>
      </c>
      <c r="B162" s="112">
        <f t="shared" si="26"/>
        <v>18</v>
      </c>
      <c r="C162" s="116" t="s">
        <v>284</v>
      </c>
      <c r="D162" s="227" t="s">
        <v>285</v>
      </c>
      <c r="E162" s="116" t="s">
        <v>90</v>
      </c>
      <c r="F162" s="118">
        <v>22133189.600000001</v>
      </c>
      <c r="G162" s="160"/>
      <c r="H162" s="120">
        <v>11751403</v>
      </c>
      <c r="I162" s="180" t="s">
        <v>40</v>
      </c>
      <c r="J162" s="74">
        <f t="shared" si="20"/>
        <v>22133189.600000001</v>
      </c>
      <c r="K162" s="17">
        <f t="shared" si="21"/>
        <v>11751403</v>
      </c>
      <c r="L162" s="11"/>
      <c r="M162" s="11"/>
      <c r="N162" s="11"/>
      <c r="O162" s="11"/>
      <c r="P162" s="11"/>
      <c r="Q162" s="11"/>
      <c r="R162" s="11"/>
      <c r="S162" s="8"/>
      <c r="T162" s="8"/>
      <c r="U162" s="8"/>
      <c r="V162" s="8"/>
      <c r="W162" s="8"/>
      <c r="X162" s="8"/>
      <c r="Y162" s="8"/>
      <c r="Z162" s="8"/>
      <c r="AA162" s="8"/>
      <c r="AB162" s="8"/>
      <c r="AC162" s="8"/>
      <c r="AD162" s="8"/>
      <c r="AE162" s="8"/>
      <c r="AF162" s="8"/>
      <c r="AG162" s="8"/>
      <c r="AH162" s="8"/>
      <c r="AI162" s="8"/>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row>
    <row r="163" spans="1:111" s="24" customFormat="1" ht="15.95" customHeight="1" x14ac:dyDescent="0.2">
      <c r="A163" s="127">
        <f t="shared" si="25"/>
        <v>134</v>
      </c>
      <c r="B163" s="112">
        <f t="shared" si="26"/>
        <v>19</v>
      </c>
      <c r="C163" s="116" t="s">
        <v>286</v>
      </c>
      <c r="D163" s="227" t="s">
        <v>287</v>
      </c>
      <c r="E163" s="116" t="s">
        <v>68</v>
      </c>
      <c r="F163" s="118">
        <v>279444.87</v>
      </c>
      <c r="G163" s="160"/>
      <c r="H163" s="120"/>
      <c r="I163" s="179"/>
      <c r="J163" s="74">
        <f t="shared" si="20"/>
        <v>279444.87</v>
      </c>
      <c r="K163" s="17">
        <f t="shared" si="21"/>
        <v>0</v>
      </c>
      <c r="L163" s="11"/>
      <c r="M163" s="11"/>
      <c r="N163" s="11"/>
      <c r="O163" s="11"/>
      <c r="P163" s="11"/>
      <c r="Q163" s="11"/>
      <c r="R163" s="11"/>
      <c r="S163" s="8"/>
      <c r="T163" s="8"/>
      <c r="U163" s="8"/>
      <c r="V163" s="8"/>
      <c r="W163" s="8"/>
      <c r="X163" s="8"/>
      <c r="Y163" s="8"/>
      <c r="Z163" s="8"/>
      <c r="AA163" s="8"/>
      <c r="AB163" s="8"/>
      <c r="AC163" s="8"/>
      <c r="AD163" s="8"/>
      <c r="AE163" s="8"/>
      <c r="AF163" s="8"/>
      <c r="AG163" s="8"/>
      <c r="AH163" s="8"/>
      <c r="AI163" s="8"/>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row>
    <row r="164" spans="1:111" s="24" customFormat="1" ht="15.95" customHeight="1" x14ac:dyDescent="0.2">
      <c r="A164" s="127">
        <f t="shared" si="25"/>
        <v>135</v>
      </c>
      <c r="B164" s="112">
        <f t="shared" si="26"/>
        <v>20</v>
      </c>
      <c r="C164" s="116" t="s">
        <v>288</v>
      </c>
      <c r="D164" s="227" t="s">
        <v>289</v>
      </c>
      <c r="E164" s="116" t="s">
        <v>14</v>
      </c>
      <c r="F164" s="119">
        <f>650005+100000</f>
        <v>750005</v>
      </c>
      <c r="G164" s="161"/>
      <c r="H164" s="120">
        <v>770000</v>
      </c>
      <c r="I164" s="179" t="s">
        <v>40</v>
      </c>
      <c r="J164" s="74">
        <f t="shared" si="20"/>
        <v>750005</v>
      </c>
      <c r="K164" s="17">
        <f t="shared" si="21"/>
        <v>770000</v>
      </c>
      <c r="L164" s="11"/>
      <c r="M164" s="11"/>
      <c r="N164" s="11"/>
      <c r="O164" s="11"/>
      <c r="P164" s="11"/>
      <c r="Q164" s="11"/>
      <c r="R164" s="11"/>
      <c r="S164" s="8"/>
      <c r="T164" s="8"/>
      <c r="U164" s="8"/>
      <c r="V164" s="8"/>
      <c r="W164" s="8"/>
      <c r="X164" s="8"/>
      <c r="Y164" s="8"/>
      <c r="Z164" s="8"/>
      <c r="AA164" s="8"/>
      <c r="AB164" s="8"/>
      <c r="AC164" s="8"/>
      <c r="AD164" s="8"/>
      <c r="AE164" s="8"/>
      <c r="AF164" s="8"/>
      <c r="AG164" s="8"/>
      <c r="AH164" s="8"/>
      <c r="AI164" s="8"/>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row>
    <row r="165" spans="1:111" ht="15.95" customHeight="1" x14ac:dyDescent="0.2">
      <c r="A165" s="127">
        <f t="shared" si="25"/>
        <v>136</v>
      </c>
      <c r="B165" s="112">
        <f t="shared" si="26"/>
        <v>21</v>
      </c>
      <c r="C165" s="116" t="s">
        <v>290</v>
      </c>
      <c r="D165" s="227" t="s">
        <v>291</v>
      </c>
      <c r="E165" s="116" t="s">
        <v>68</v>
      </c>
      <c r="F165" s="118">
        <v>20634322.030000001</v>
      </c>
      <c r="G165" s="160"/>
      <c r="H165" s="120"/>
      <c r="I165" s="179"/>
      <c r="J165" s="74">
        <f t="shared" si="20"/>
        <v>20634322.030000001</v>
      </c>
      <c r="K165" s="17">
        <f t="shared" si="21"/>
        <v>0</v>
      </c>
    </row>
    <row r="166" spans="1:111" s="24" customFormat="1" ht="15.95" customHeight="1" x14ac:dyDescent="0.2">
      <c r="A166" s="127">
        <f t="shared" si="25"/>
        <v>137</v>
      </c>
      <c r="B166" s="112">
        <f t="shared" si="26"/>
        <v>22</v>
      </c>
      <c r="C166" s="116" t="s">
        <v>292</v>
      </c>
      <c r="D166" s="227" t="s">
        <v>293</v>
      </c>
      <c r="E166" s="116" t="s">
        <v>104</v>
      </c>
      <c r="F166" s="118">
        <f>740967.69/2.745</f>
        <v>269933.58469945349</v>
      </c>
      <c r="G166" s="160"/>
      <c r="H166" s="120"/>
      <c r="I166" s="179"/>
      <c r="J166" s="74">
        <f t="shared" si="20"/>
        <v>269933.58469945349</v>
      </c>
      <c r="K166" s="17">
        <f t="shared" si="21"/>
        <v>0</v>
      </c>
      <c r="L166" s="11"/>
      <c r="M166" s="11"/>
      <c r="N166" s="11"/>
      <c r="O166" s="11"/>
      <c r="P166" s="11"/>
      <c r="Q166" s="11"/>
      <c r="R166" s="11"/>
      <c r="S166" s="8"/>
      <c r="T166" s="8"/>
      <c r="U166" s="8"/>
      <c r="V166" s="8"/>
      <c r="W166" s="8"/>
      <c r="X166" s="8"/>
      <c r="Y166" s="8"/>
      <c r="Z166" s="8"/>
      <c r="AA166" s="8"/>
      <c r="AB166" s="8"/>
      <c r="AC166" s="8"/>
      <c r="AD166" s="8"/>
      <c r="AE166" s="8"/>
      <c r="AF166" s="8"/>
      <c r="AG166" s="8"/>
      <c r="AH166" s="8"/>
      <c r="AI166" s="8"/>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row>
    <row r="167" spans="1:111" s="24" customFormat="1" ht="15.95" customHeight="1" x14ac:dyDescent="0.2">
      <c r="A167" s="127">
        <f t="shared" si="25"/>
        <v>138</v>
      </c>
      <c r="B167" s="112">
        <f t="shared" si="26"/>
        <v>23</v>
      </c>
      <c r="C167" s="116" t="s">
        <v>294</v>
      </c>
      <c r="D167" s="227" t="s">
        <v>295</v>
      </c>
      <c r="E167" s="116" t="s">
        <v>81</v>
      </c>
      <c r="F167" s="118">
        <v>579000</v>
      </c>
      <c r="G167" s="160"/>
      <c r="H167" s="120"/>
      <c r="I167" s="179"/>
      <c r="J167" s="74">
        <f t="shared" si="20"/>
        <v>579000</v>
      </c>
      <c r="K167" s="17">
        <f t="shared" si="21"/>
        <v>0</v>
      </c>
      <c r="L167" s="11"/>
      <c r="M167" s="11"/>
      <c r="N167" s="11"/>
      <c r="O167" s="11"/>
      <c r="P167" s="11"/>
      <c r="Q167" s="11"/>
      <c r="R167" s="11"/>
      <c r="S167" s="8"/>
      <c r="T167" s="8"/>
      <c r="U167" s="8"/>
      <c r="V167" s="8"/>
      <c r="W167" s="8"/>
      <c r="X167" s="8"/>
      <c r="Y167" s="8"/>
      <c r="Z167" s="8"/>
      <c r="AA167" s="8"/>
      <c r="AB167" s="8"/>
      <c r="AC167" s="8"/>
      <c r="AD167" s="8"/>
      <c r="AE167" s="8"/>
      <c r="AF167" s="8"/>
      <c r="AG167" s="8"/>
      <c r="AH167" s="8"/>
      <c r="AI167" s="8"/>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row>
    <row r="168" spans="1:111" s="24" customFormat="1" ht="15.95" customHeight="1" x14ac:dyDescent="0.2">
      <c r="A168" s="127">
        <f t="shared" si="25"/>
        <v>139</v>
      </c>
      <c r="B168" s="112">
        <f t="shared" si="26"/>
        <v>24</v>
      </c>
      <c r="C168" s="116" t="s">
        <v>294</v>
      </c>
      <c r="D168" s="227" t="s">
        <v>296</v>
      </c>
      <c r="E168" s="116" t="s">
        <v>81</v>
      </c>
      <c r="F168" s="118">
        <v>289000</v>
      </c>
      <c r="G168" s="160"/>
      <c r="H168" s="120"/>
      <c r="I168" s="179"/>
      <c r="J168" s="74">
        <f t="shared" si="20"/>
        <v>289000</v>
      </c>
      <c r="K168" s="17">
        <f t="shared" si="21"/>
        <v>0</v>
      </c>
      <c r="L168" s="11"/>
      <c r="M168" s="11"/>
      <c r="N168" s="11"/>
      <c r="O168" s="11"/>
      <c r="P168" s="11"/>
      <c r="Q168" s="11"/>
      <c r="R168" s="11"/>
      <c r="S168" s="8"/>
      <c r="T168" s="8"/>
      <c r="U168" s="8"/>
      <c r="V168" s="8"/>
      <c r="W168" s="8"/>
      <c r="X168" s="8"/>
      <c r="Y168" s="8"/>
      <c r="Z168" s="8"/>
      <c r="AA168" s="8"/>
      <c r="AB168" s="8"/>
      <c r="AC168" s="8"/>
      <c r="AD168" s="8"/>
      <c r="AE168" s="8"/>
      <c r="AF168" s="8"/>
      <c r="AG168" s="8"/>
      <c r="AH168" s="8"/>
      <c r="AI168" s="8"/>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row>
    <row r="169" spans="1:111" s="25" customFormat="1" ht="15.95" customHeight="1" x14ac:dyDescent="0.2">
      <c r="A169" s="127">
        <f t="shared" si="25"/>
        <v>140</v>
      </c>
      <c r="B169" s="112">
        <f t="shared" si="26"/>
        <v>25</v>
      </c>
      <c r="C169" s="116" t="s">
        <v>297</v>
      </c>
      <c r="D169" s="227" t="s">
        <v>298</v>
      </c>
      <c r="E169" s="116" t="s">
        <v>23</v>
      </c>
      <c r="F169" s="118">
        <f>63801584.6/2.7+410996.97</f>
        <v>24041213.488518517</v>
      </c>
      <c r="G169" s="160"/>
      <c r="H169" s="120"/>
      <c r="I169" s="179"/>
      <c r="J169" s="74">
        <f t="shared" si="20"/>
        <v>24041213.488518517</v>
      </c>
      <c r="K169" s="17">
        <f t="shared" si="21"/>
        <v>0</v>
      </c>
      <c r="L169" s="11"/>
      <c r="M169" s="11"/>
      <c r="N169" s="11"/>
      <c r="O169" s="11"/>
      <c r="P169" s="11"/>
      <c r="Q169" s="11"/>
      <c r="R169" s="11"/>
      <c r="S169" s="8"/>
      <c r="T169" s="8"/>
      <c r="U169" s="8"/>
      <c r="V169" s="8"/>
      <c r="W169" s="8"/>
      <c r="X169" s="8"/>
      <c r="Y169" s="8"/>
      <c r="Z169" s="8"/>
      <c r="AA169" s="8"/>
      <c r="AB169" s="8"/>
      <c r="AC169" s="8"/>
      <c r="AD169" s="8"/>
      <c r="AE169" s="8"/>
      <c r="AF169" s="8"/>
      <c r="AG169" s="8"/>
      <c r="AH169" s="8"/>
      <c r="AI169" s="8"/>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row>
    <row r="170" spans="1:111" s="24" customFormat="1" ht="15.95" customHeight="1" x14ac:dyDescent="0.2">
      <c r="A170" s="127">
        <f t="shared" si="25"/>
        <v>141</v>
      </c>
      <c r="B170" s="112">
        <f t="shared" si="26"/>
        <v>26</v>
      </c>
      <c r="C170" s="116" t="s">
        <v>299</v>
      </c>
      <c r="D170" s="227" t="s">
        <v>300</v>
      </c>
      <c r="E170" s="116" t="s">
        <v>68</v>
      </c>
      <c r="F170" s="118">
        <v>1540001</v>
      </c>
      <c r="G170" s="160"/>
      <c r="H170" s="120"/>
      <c r="I170" s="179"/>
      <c r="J170" s="74">
        <f t="shared" si="20"/>
        <v>1540001</v>
      </c>
      <c r="K170" s="17">
        <f t="shared" si="21"/>
        <v>0</v>
      </c>
      <c r="L170" s="11"/>
      <c r="M170" s="11"/>
      <c r="N170" s="11"/>
      <c r="O170" s="11"/>
      <c r="P170" s="11"/>
      <c r="Q170" s="11"/>
      <c r="R170" s="11"/>
      <c r="S170" s="8"/>
      <c r="T170" s="8"/>
      <c r="U170" s="8"/>
      <c r="V170" s="8"/>
      <c r="W170" s="8"/>
      <c r="X170" s="8"/>
      <c r="Y170" s="8"/>
      <c r="Z170" s="8"/>
      <c r="AA170" s="8"/>
      <c r="AB170" s="8"/>
      <c r="AC170" s="8"/>
      <c r="AD170" s="8"/>
      <c r="AE170" s="8"/>
      <c r="AF170" s="8"/>
      <c r="AG170" s="8"/>
      <c r="AH170" s="8"/>
      <c r="AI170" s="8"/>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row>
    <row r="171" spans="1:111" ht="17.25" customHeight="1" x14ac:dyDescent="0.2">
      <c r="A171" s="127">
        <f t="shared" ref="A171:B176" si="27">A170+1</f>
        <v>142</v>
      </c>
      <c r="B171" s="112">
        <f t="shared" si="27"/>
        <v>27</v>
      </c>
      <c r="C171" s="116" t="s">
        <v>301</v>
      </c>
      <c r="D171" s="227" t="s">
        <v>302</v>
      </c>
      <c r="E171" s="116" t="s">
        <v>23</v>
      </c>
      <c r="F171" s="118">
        <v>32986000</v>
      </c>
      <c r="G171" s="160"/>
      <c r="H171" s="120">
        <v>5554000</v>
      </c>
      <c r="I171" s="180" t="s">
        <v>40</v>
      </c>
      <c r="J171" s="74"/>
      <c r="K171" s="17"/>
    </row>
    <row r="172" spans="1:111" ht="16.5" customHeight="1" x14ac:dyDescent="0.2">
      <c r="A172" s="127">
        <f t="shared" si="27"/>
        <v>143</v>
      </c>
      <c r="B172" s="112">
        <f t="shared" si="27"/>
        <v>28</v>
      </c>
      <c r="C172" s="116" t="s">
        <v>301</v>
      </c>
      <c r="D172" s="227" t="s">
        <v>303</v>
      </c>
      <c r="E172" s="116" t="s">
        <v>23</v>
      </c>
      <c r="F172" s="118">
        <v>32986000</v>
      </c>
      <c r="G172" s="160"/>
      <c r="H172" s="120">
        <v>6328000</v>
      </c>
      <c r="I172" s="179" t="s">
        <v>40</v>
      </c>
      <c r="J172" s="74"/>
      <c r="K172" s="17"/>
    </row>
    <row r="173" spans="1:111" ht="20.25" customHeight="1" x14ac:dyDescent="0.2">
      <c r="A173" s="127">
        <f t="shared" si="27"/>
        <v>144</v>
      </c>
      <c r="B173" s="112">
        <f t="shared" si="27"/>
        <v>29</v>
      </c>
      <c r="C173" s="116" t="s">
        <v>304</v>
      </c>
      <c r="D173" s="227" t="s">
        <v>305</v>
      </c>
      <c r="E173" s="116" t="s">
        <v>23</v>
      </c>
      <c r="F173" s="118">
        <v>32986000</v>
      </c>
      <c r="G173" s="160"/>
      <c r="H173" s="120">
        <v>6910000</v>
      </c>
      <c r="I173" s="179" t="s">
        <v>40</v>
      </c>
      <c r="J173" s="74"/>
      <c r="K173" s="17"/>
    </row>
    <row r="174" spans="1:111" s="24" customFormat="1" ht="15.95" customHeight="1" x14ac:dyDescent="0.2">
      <c r="A174" s="127">
        <f t="shared" si="27"/>
        <v>145</v>
      </c>
      <c r="B174" s="112">
        <f t="shared" si="27"/>
        <v>30</v>
      </c>
      <c r="C174" s="116" t="s">
        <v>306</v>
      </c>
      <c r="D174" s="227" t="s">
        <v>307</v>
      </c>
      <c r="E174" s="116" t="s">
        <v>81</v>
      </c>
      <c r="F174" s="118">
        <v>6875300</v>
      </c>
      <c r="G174" s="160"/>
      <c r="H174" s="120"/>
      <c r="I174" s="179"/>
      <c r="J174" s="74">
        <f t="shared" si="20"/>
        <v>6875300</v>
      </c>
      <c r="K174" s="17">
        <f t="shared" si="21"/>
        <v>0</v>
      </c>
      <c r="L174" s="11"/>
      <c r="M174" s="11"/>
      <c r="N174" s="11"/>
      <c r="O174" s="11"/>
      <c r="P174" s="11"/>
      <c r="Q174" s="11"/>
      <c r="R174" s="11"/>
      <c r="S174" s="8"/>
      <c r="T174" s="8"/>
      <c r="U174" s="8"/>
      <c r="V174" s="8"/>
      <c r="W174" s="8"/>
      <c r="X174" s="8"/>
      <c r="Y174" s="8"/>
      <c r="Z174" s="8"/>
      <c r="AA174" s="8"/>
      <c r="AB174" s="8"/>
      <c r="AC174" s="8"/>
      <c r="AD174" s="8"/>
      <c r="AE174" s="8"/>
      <c r="AF174" s="8"/>
      <c r="AG174" s="8"/>
      <c r="AH174" s="8"/>
      <c r="AI174" s="8"/>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row>
    <row r="175" spans="1:111" s="24" customFormat="1" ht="15.95" customHeight="1" x14ac:dyDescent="0.2">
      <c r="A175" s="127">
        <f t="shared" si="27"/>
        <v>146</v>
      </c>
      <c r="B175" s="112">
        <f t="shared" si="27"/>
        <v>31</v>
      </c>
      <c r="C175" s="116" t="s">
        <v>306</v>
      </c>
      <c r="D175" s="227" t="s">
        <v>308</v>
      </c>
      <c r="E175" s="116" t="s">
        <v>81</v>
      </c>
      <c r="F175" s="118">
        <v>4502999.99</v>
      </c>
      <c r="G175" s="160"/>
      <c r="H175" s="120"/>
      <c r="I175" s="179"/>
      <c r="J175" s="74">
        <f t="shared" si="20"/>
        <v>4502999.99</v>
      </c>
      <c r="K175" s="17">
        <f t="shared" si="21"/>
        <v>0</v>
      </c>
      <c r="L175" s="11"/>
      <c r="M175" s="11"/>
      <c r="N175" s="11"/>
      <c r="O175" s="11"/>
      <c r="P175" s="11"/>
      <c r="Q175" s="11"/>
      <c r="R175" s="11"/>
      <c r="S175" s="8"/>
      <c r="T175" s="8"/>
      <c r="U175" s="8"/>
      <c r="V175" s="8"/>
      <c r="W175" s="8"/>
      <c r="X175" s="8"/>
      <c r="Y175" s="8"/>
      <c r="Z175" s="8"/>
      <c r="AA175" s="8"/>
      <c r="AB175" s="8"/>
      <c r="AC175" s="8"/>
      <c r="AD175" s="8"/>
      <c r="AE175" s="8"/>
      <c r="AF175" s="8"/>
      <c r="AG175" s="8"/>
      <c r="AH175" s="8"/>
      <c r="AI175" s="8"/>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row>
    <row r="176" spans="1:111" ht="15.95" customHeight="1" x14ac:dyDescent="0.2">
      <c r="A176" s="129">
        <f t="shared" si="27"/>
        <v>147</v>
      </c>
      <c r="B176" s="130">
        <f t="shared" si="27"/>
        <v>32</v>
      </c>
      <c r="C176" s="131" t="s">
        <v>306</v>
      </c>
      <c r="D176" s="229" t="s">
        <v>309</v>
      </c>
      <c r="E176" s="131" t="s">
        <v>81</v>
      </c>
      <c r="F176" s="132">
        <v>3300000</v>
      </c>
      <c r="G176" s="162"/>
      <c r="H176" s="133"/>
      <c r="I176" s="184"/>
      <c r="J176" s="74">
        <f t="shared" si="20"/>
        <v>3300000</v>
      </c>
      <c r="K176" s="17">
        <f t="shared" si="21"/>
        <v>0</v>
      </c>
    </row>
    <row r="177" spans="1:112" s="29" customFormat="1" ht="15.95" customHeight="1" x14ac:dyDescent="0.2">
      <c r="A177" s="16" t="s">
        <v>310</v>
      </c>
      <c r="B177" s="48"/>
      <c r="C177" s="68"/>
      <c r="D177" s="228"/>
      <c r="E177" s="68"/>
      <c r="F177" s="108">
        <f>SUM(F145:F176)</f>
        <v>539103691.80321801</v>
      </c>
      <c r="G177" s="163"/>
      <c r="H177" s="109">
        <f>SUM(H145:H176)</f>
        <v>229054903</v>
      </c>
      <c r="I177" s="178"/>
      <c r="J177" s="74"/>
      <c r="K177" s="17"/>
      <c r="L177" s="11"/>
      <c r="M177" s="11"/>
      <c r="N177" s="11"/>
      <c r="O177" s="11"/>
      <c r="P177" s="11"/>
      <c r="Q177" s="11"/>
      <c r="R177" s="11"/>
      <c r="S177" s="8"/>
      <c r="T177" s="8"/>
      <c r="U177" s="8"/>
      <c r="V177" s="8"/>
      <c r="W177" s="8"/>
      <c r="X177" s="8"/>
      <c r="Y177" s="8"/>
      <c r="Z177" s="8"/>
      <c r="AA177" s="8"/>
      <c r="AB177" s="8"/>
      <c r="AC177" s="8"/>
      <c r="AD177" s="8"/>
      <c r="AE177" s="8"/>
      <c r="AF177" s="8"/>
      <c r="AG177" s="8"/>
      <c r="AH177" s="8"/>
      <c r="AI177" s="8"/>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row>
    <row r="178" spans="1:112" ht="15.95" customHeight="1" x14ac:dyDescent="0.2">
      <c r="A178" s="257">
        <v>1998</v>
      </c>
      <c r="B178" s="258"/>
      <c r="C178" s="258"/>
      <c r="D178" s="258"/>
      <c r="E178" s="258"/>
      <c r="F178" s="258"/>
      <c r="G178" s="258"/>
      <c r="H178" s="258"/>
      <c r="I178" s="259"/>
      <c r="J178" s="74">
        <f t="shared" ref="J178:J201" si="28">+F178</f>
        <v>0</v>
      </c>
      <c r="K178" s="17">
        <f t="shared" ref="K178:K201" si="29">+H178</f>
        <v>0</v>
      </c>
    </row>
    <row r="179" spans="1:112" ht="15.95" customHeight="1" x14ac:dyDescent="0.2">
      <c r="A179" s="99">
        <f>A176+1</f>
        <v>148</v>
      </c>
      <c r="B179" s="100">
        <v>1</v>
      </c>
      <c r="C179" s="103" t="s">
        <v>311</v>
      </c>
      <c r="D179" s="223" t="s">
        <v>312</v>
      </c>
      <c r="E179" s="103" t="s">
        <v>313</v>
      </c>
      <c r="F179" s="117">
        <v>774218</v>
      </c>
      <c r="G179" s="159"/>
      <c r="H179" s="105"/>
      <c r="I179" s="176"/>
      <c r="J179" s="74">
        <f t="shared" si="28"/>
        <v>774218</v>
      </c>
      <c r="K179" s="17">
        <f t="shared" si="29"/>
        <v>0</v>
      </c>
    </row>
    <row r="180" spans="1:112" ht="15.95" customHeight="1" x14ac:dyDescent="0.2">
      <c r="A180" s="127">
        <f t="shared" ref="A180:A201" si="30">+A179+1</f>
        <v>149</v>
      </c>
      <c r="B180" s="112">
        <v>2</v>
      </c>
      <c r="C180" s="116" t="s">
        <v>314</v>
      </c>
      <c r="D180" s="227" t="s">
        <v>315</v>
      </c>
      <c r="E180" s="116" t="s">
        <v>68</v>
      </c>
      <c r="F180" s="118">
        <v>15215000</v>
      </c>
      <c r="G180" s="160"/>
      <c r="H180" s="120">
        <v>2000000</v>
      </c>
      <c r="I180" s="179" t="s">
        <v>40</v>
      </c>
      <c r="J180" s="74">
        <f t="shared" si="28"/>
        <v>15215000</v>
      </c>
      <c r="K180" s="17">
        <f t="shared" si="29"/>
        <v>2000000</v>
      </c>
    </row>
    <row r="181" spans="1:112" ht="15.95" customHeight="1" x14ac:dyDescent="0.2">
      <c r="A181" s="127">
        <f t="shared" si="30"/>
        <v>150</v>
      </c>
      <c r="B181" s="112">
        <v>3</v>
      </c>
      <c r="C181" s="116" t="s">
        <v>316</v>
      </c>
      <c r="D181" s="227" t="s">
        <v>317</v>
      </c>
      <c r="E181" s="116" t="s">
        <v>81</v>
      </c>
      <c r="F181" s="118">
        <v>2400000</v>
      </c>
      <c r="G181" s="160"/>
      <c r="H181" s="120"/>
      <c r="I181" s="179"/>
      <c r="J181" s="74">
        <f t="shared" si="28"/>
        <v>2400000</v>
      </c>
      <c r="K181" s="17">
        <f t="shared" si="29"/>
        <v>0</v>
      </c>
    </row>
    <row r="182" spans="1:112" s="30" customFormat="1" ht="15.95" customHeight="1" x14ac:dyDescent="0.2">
      <c r="A182" s="127">
        <f t="shared" si="30"/>
        <v>151</v>
      </c>
      <c r="B182" s="112">
        <v>4</v>
      </c>
      <c r="C182" s="116" t="s">
        <v>318</v>
      </c>
      <c r="D182" s="227" t="s">
        <v>319</v>
      </c>
      <c r="E182" s="116" t="s">
        <v>90</v>
      </c>
      <c r="F182" s="118">
        <v>90001</v>
      </c>
      <c r="G182" s="160"/>
      <c r="H182" s="120">
        <v>90000</v>
      </c>
      <c r="I182" s="180" t="s">
        <v>40</v>
      </c>
      <c r="J182" s="74">
        <f t="shared" si="28"/>
        <v>90001</v>
      </c>
      <c r="K182" s="17">
        <f t="shared" si="29"/>
        <v>90000</v>
      </c>
      <c r="L182" s="11"/>
      <c r="M182" s="11"/>
      <c r="N182" s="11"/>
      <c r="O182" s="11"/>
      <c r="P182" s="11"/>
      <c r="Q182" s="11"/>
      <c r="R182" s="11"/>
      <c r="S182" s="8"/>
      <c r="T182" s="8"/>
      <c r="U182" s="8"/>
      <c r="V182" s="8"/>
      <c r="W182" s="8"/>
      <c r="X182" s="8"/>
      <c r="Y182" s="8"/>
      <c r="Z182" s="8"/>
      <c r="AA182" s="8"/>
      <c r="AB182" s="8"/>
      <c r="AC182" s="8"/>
      <c r="AD182" s="8"/>
      <c r="AE182" s="8"/>
      <c r="AF182" s="8"/>
      <c r="AG182" s="8"/>
      <c r="AH182" s="8"/>
      <c r="AI182" s="8"/>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75"/>
    </row>
    <row r="183" spans="1:112" s="30" customFormat="1" ht="15.95" customHeight="1" x14ac:dyDescent="0.2">
      <c r="A183" s="127">
        <f t="shared" si="30"/>
        <v>152</v>
      </c>
      <c r="B183" s="112">
        <v>5</v>
      </c>
      <c r="C183" s="116" t="s">
        <v>320</v>
      </c>
      <c r="D183" s="227" t="s">
        <v>321</v>
      </c>
      <c r="E183" s="116" t="s">
        <v>90</v>
      </c>
      <c r="F183" s="118">
        <v>500299</v>
      </c>
      <c r="G183" s="160"/>
      <c r="H183" s="120">
        <v>10000300</v>
      </c>
      <c r="I183" s="179" t="s">
        <v>40</v>
      </c>
      <c r="J183" s="74">
        <f t="shared" si="28"/>
        <v>500299</v>
      </c>
      <c r="K183" s="17">
        <f t="shared" si="29"/>
        <v>10000300</v>
      </c>
      <c r="L183" s="11"/>
      <c r="M183" s="11"/>
      <c r="N183" s="11"/>
      <c r="O183" s="11"/>
      <c r="P183" s="11"/>
      <c r="Q183" s="11"/>
      <c r="R183" s="11"/>
      <c r="S183" s="8"/>
      <c r="T183" s="8"/>
      <c r="U183" s="8"/>
      <c r="V183" s="8"/>
      <c r="W183" s="8"/>
      <c r="X183" s="8"/>
      <c r="Y183" s="8"/>
      <c r="Z183" s="8"/>
      <c r="AA183" s="8"/>
      <c r="AB183" s="8"/>
      <c r="AC183" s="8"/>
      <c r="AD183" s="8"/>
      <c r="AE183" s="8"/>
      <c r="AF183" s="8"/>
      <c r="AG183" s="8"/>
      <c r="AH183" s="8"/>
      <c r="AI183" s="8"/>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75"/>
    </row>
    <row r="184" spans="1:112" s="25" customFormat="1" ht="15.95" customHeight="1" x14ac:dyDescent="0.2">
      <c r="A184" s="127">
        <f t="shared" si="30"/>
        <v>153</v>
      </c>
      <c r="B184" s="112">
        <v>6</v>
      </c>
      <c r="C184" s="128" t="s">
        <v>322</v>
      </c>
      <c r="D184" s="227" t="s">
        <v>323</v>
      </c>
      <c r="E184" s="116" t="s">
        <v>14</v>
      </c>
      <c r="F184" s="118">
        <v>7500001</v>
      </c>
      <c r="G184" s="160"/>
      <c r="H184" s="120"/>
      <c r="I184" s="179"/>
      <c r="J184" s="74">
        <f t="shared" si="28"/>
        <v>7500001</v>
      </c>
      <c r="K184" s="17">
        <f t="shared" si="29"/>
        <v>0</v>
      </c>
      <c r="L184" s="11"/>
      <c r="M184" s="11"/>
      <c r="N184" s="11"/>
      <c r="O184" s="11"/>
      <c r="P184" s="11"/>
      <c r="Q184" s="11"/>
      <c r="R184" s="11"/>
      <c r="S184" s="8"/>
      <c r="T184" s="8"/>
      <c r="U184" s="8"/>
      <c r="V184" s="8"/>
      <c r="W184" s="8"/>
      <c r="X184" s="8"/>
      <c r="Y184" s="8"/>
      <c r="Z184" s="8"/>
      <c r="AA184" s="8"/>
      <c r="AB184" s="8"/>
      <c r="AC184" s="8"/>
      <c r="AD184" s="8"/>
      <c r="AE184" s="8"/>
      <c r="AF184" s="8"/>
      <c r="AG184" s="8"/>
      <c r="AH184" s="8"/>
      <c r="AI184" s="8"/>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row>
    <row r="185" spans="1:112" s="25" customFormat="1" ht="15.95" customHeight="1" x14ac:dyDescent="0.2">
      <c r="A185" s="127">
        <f t="shared" si="30"/>
        <v>154</v>
      </c>
      <c r="B185" s="112">
        <v>7</v>
      </c>
      <c r="C185" s="116" t="s">
        <v>324</v>
      </c>
      <c r="D185" s="227" t="s">
        <v>325</v>
      </c>
      <c r="E185" s="116" t="s">
        <v>90</v>
      </c>
      <c r="F185" s="118">
        <v>1223447.5</v>
      </c>
      <c r="G185" s="160"/>
      <c r="H185" s="120">
        <v>959840</v>
      </c>
      <c r="I185" s="180" t="s">
        <v>40</v>
      </c>
      <c r="J185" s="74">
        <f t="shared" si="28"/>
        <v>1223447.5</v>
      </c>
      <c r="K185" s="17">
        <f t="shared" si="29"/>
        <v>959840</v>
      </c>
      <c r="L185" s="11"/>
      <c r="M185" s="11"/>
      <c r="N185" s="11"/>
      <c r="O185" s="11"/>
      <c r="P185" s="11"/>
      <c r="Q185" s="11"/>
      <c r="R185" s="11"/>
      <c r="S185" s="8"/>
      <c r="T185" s="8"/>
      <c r="U185" s="8"/>
      <c r="V185" s="8"/>
      <c r="W185" s="8"/>
      <c r="X185" s="8"/>
      <c r="Y185" s="8"/>
      <c r="Z185" s="8"/>
      <c r="AA185" s="8"/>
      <c r="AB185" s="8"/>
      <c r="AC185" s="8"/>
      <c r="AD185" s="8"/>
      <c r="AE185" s="8"/>
      <c r="AF185" s="8"/>
      <c r="AG185" s="8"/>
      <c r="AH185" s="8"/>
      <c r="AI185" s="8"/>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row>
    <row r="186" spans="1:112" s="24" customFormat="1" ht="15.95" customHeight="1" x14ac:dyDescent="0.2">
      <c r="A186" s="127">
        <f t="shared" si="30"/>
        <v>155</v>
      </c>
      <c r="B186" s="112">
        <v>8</v>
      </c>
      <c r="C186" s="197">
        <v>35977</v>
      </c>
      <c r="D186" s="227" t="s">
        <v>326</v>
      </c>
      <c r="E186" s="116" t="s">
        <v>11</v>
      </c>
      <c r="F186" s="118">
        <v>17166309.620000001</v>
      </c>
      <c r="G186" s="160"/>
      <c r="H186" s="120"/>
      <c r="I186" s="179"/>
      <c r="J186" s="74">
        <f t="shared" si="28"/>
        <v>17166309.620000001</v>
      </c>
      <c r="K186" s="17">
        <f t="shared" si="29"/>
        <v>0</v>
      </c>
      <c r="L186" s="11"/>
      <c r="M186" s="11"/>
      <c r="N186" s="11"/>
      <c r="O186" s="11"/>
      <c r="P186" s="11"/>
      <c r="Q186" s="11"/>
      <c r="R186" s="11"/>
      <c r="S186" s="8"/>
      <c r="T186" s="8"/>
      <c r="U186" s="8"/>
      <c r="V186" s="8"/>
      <c r="W186" s="8"/>
      <c r="X186" s="8"/>
      <c r="Y186" s="8"/>
      <c r="Z186" s="8"/>
      <c r="AA186" s="8"/>
      <c r="AB186" s="8"/>
      <c r="AC186" s="8"/>
      <c r="AD186" s="8"/>
      <c r="AE186" s="8"/>
      <c r="AF186" s="8"/>
      <c r="AG186" s="8"/>
      <c r="AH186" s="8"/>
      <c r="AI186" s="8"/>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row>
    <row r="187" spans="1:112" s="24" customFormat="1" ht="15.95" customHeight="1" x14ac:dyDescent="0.2">
      <c r="A187" s="127">
        <f t="shared" si="30"/>
        <v>156</v>
      </c>
      <c r="B187" s="112">
        <v>9</v>
      </c>
      <c r="C187" s="197">
        <v>35977</v>
      </c>
      <c r="D187" s="227" t="s">
        <v>327</v>
      </c>
      <c r="E187" s="116" t="s">
        <v>11</v>
      </c>
      <c r="F187" s="118">
        <f>49885002.3/2.98</f>
        <v>16739933.65771812</v>
      </c>
      <c r="G187" s="160"/>
      <c r="H187" s="120"/>
      <c r="I187" s="179"/>
      <c r="J187" s="74">
        <f t="shared" si="28"/>
        <v>16739933.65771812</v>
      </c>
      <c r="K187" s="17">
        <f t="shared" si="29"/>
        <v>0</v>
      </c>
      <c r="L187" s="11"/>
      <c r="M187" s="11"/>
      <c r="N187" s="11"/>
      <c r="O187" s="11"/>
      <c r="P187" s="11"/>
      <c r="Q187" s="11"/>
      <c r="R187" s="11"/>
      <c r="S187" s="8"/>
      <c r="T187" s="8"/>
      <c r="U187" s="8"/>
      <c r="V187" s="8"/>
      <c r="W187" s="8"/>
      <c r="X187" s="8"/>
      <c r="Y187" s="8"/>
      <c r="Z187" s="8"/>
      <c r="AA187" s="8"/>
      <c r="AB187" s="8"/>
      <c r="AC187" s="8"/>
      <c r="AD187" s="8"/>
      <c r="AE187" s="8"/>
      <c r="AF187" s="8"/>
      <c r="AG187" s="8"/>
      <c r="AH187" s="8"/>
      <c r="AI187" s="8"/>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row>
    <row r="188" spans="1:112" s="25" customFormat="1" ht="15.95" customHeight="1" x14ac:dyDescent="0.2">
      <c r="A188" s="127">
        <f t="shared" si="30"/>
        <v>157</v>
      </c>
      <c r="B188" s="112">
        <v>10</v>
      </c>
      <c r="C188" s="197">
        <v>35977</v>
      </c>
      <c r="D188" s="227" t="s">
        <v>328</v>
      </c>
      <c r="E188" s="116" t="s">
        <v>11</v>
      </c>
      <c r="F188" s="118">
        <f>94781648.63/2.98</f>
        <v>31805922.359060403</v>
      </c>
      <c r="G188" s="160"/>
      <c r="H188" s="120"/>
      <c r="I188" s="179"/>
      <c r="J188" s="74">
        <f t="shared" si="28"/>
        <v>31805922.359060403</v>
      </c>
      <c r="K188" s="17">
        <f t="shared" si="29"/>
        <v>0</v>
      </c>
      <c r="L188" s="11"/>
      <c r="M188" s="11"/>
      <c r="N188" s="11"/>
      <c r="O188" s="11"/>
      <c r="P188" s="11"/>
      <c r="Q188" s="11"/>
      <c r="R188" s="11"/>
      <c r="S188" s="8"/>
      <c r="T188" s="8"/>
      <c r="U188" s="8"/>
      <c r="V188" s="8"/>
      <c r="W188" s="8"/>
      <c r="X188" s="8"/>
      <c r="Y188" s="8"/>
      <c r="Z188" s="8"/>
      <c r="AA188" s="8"/>
      <c r="AB188" s="8"/>
      <c r="AC188" s="8"/>
      <c r="AD188" s="8"/>
      <c r="AE188" s="8"/>
      <c r="AF188" s="8"/>
      <c r="AG188" s="8"/>
      <c r="AH188" s="8"/>
      <c r="AI188" s="8"/>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row>
    <row r="189" spans="1:112" s="25" customFormat="1" ht="15.95" customHeight="1" x14ac:dyDescent="0.2">
      <c r="A189" s="127">
        <f t="shared" si="30"/>
        <v>158</v>
      </c>
      <c r="B189" s="112">
        <v>11</v>
      </c>
      <c r="C189" s="116" t="s">
        <v>329</v>
      </c>
      <c r="D189" s="227" t="s">
        <v>330</v>
      </c>
      <c r="E189" s="116" t="s">
        <v>14</v>
      </c>
      <c r="F189" s="118">
        <v>951000</v>
      </c>
      <c r="G189" s="160"/>
      <c r="H189" s="120"/>
      <c r="I189" s="179"/>
      <c r="J189" s="74">
        <f t="shared" si="28"/>
        <v>951000</v>
      </c>
      <c r="K189" s="17">
        <f t="shared" si="29"/>
        <v>0</v>
      </c>
      <c r="L189" s="11"/>
      <c r="M189" s="11"/>
      <c r="N189" s="11"/>
      <c r="O189" s="11"/>
      <c r="P189" s="11"/>
      <c r="Q189" s="11"/>
      <c r="R189" s="11"/>
      <c r="S189" s="8"/>
      <c r="T189" s="8"/>
      <c r="U189" s="8"/>
      <c r="V189" s="8"/>
      <c r="W189" s="8"/>
      <c r="X189" s="8"/>
      <c r="Y189" s="8"/>
      <c r="Z189" s="8"/>
      <c r="AA189" s="8"/>
      <c r="AB189" s="8"/>
      <c r="AC189" s="8"/>
      <c r="AD189" s="8"/>
      <c r="AE189" s="8"/>
      <c r="AF189" s="8"/>
      <c r="AG189" s="8"/>
      <c r="AH189" s="8"/>
      <c r="AI189" s="8"/>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row>
    <row r="190" spans="1:112" s="24" customFormat="1" ht="15.95" customHeight="1" x14ac:dyDescent="0.2">
      <c r="A190" s="127">
        <f t="shared" si="30"/>
        <v>159</v>
      </c>
      <c r="B190" s="112">
        <v>12</v>
      </c>
      <c r="C190" s="116" t="s">
        <v>331</v>
      </c>
      <c r="D190" s="227" t="s">
        <v>332</v>
      </c>
      <c r="E190" s="116" t="s">
        <v>90</v>
      </c>
      <c r="F190" s="118">
        <v>1583499</v>
      </c>
      <c r="G190" s="160"/>
      <c r="H190" s="120">
        <f>1952990+368060/2+113320/2</f>
        <v>2193680</v>
      </c>
      <c r="I190" s="179" t="s">
        <v>40</v>
      </c>
      <c r="J190" s="74">
        <f t="shared" si="28"/>
        <v>1583499</v>
      </c>
      <c r="K190" s="17">
        <f t="shared" si="29"/>
        <v>2193680</v>
      </c>
      <c r="L190" s="11"/>
      <c r="M190" s="11"/>
      <c r="N190" s="11"/>
      <c r="O190" s="11"/>
      <c r="P190" s="11"/>
      <c r="Q190" s="11"/>
      <c r="R190" s="11"/>
      <c r="S190" s="8"/>
      <c r="T190" s="8"/>
      <c r="U190" s="8"/>
      <c r="V190" s="8"/>
      <c r="W190" s="8"/>
      <c r="X190" s="8"/>
      <c r="Y190" s="8"/>
      <c r="Z190" s="8"/>
      <c r="AA190" s="8"/>
      <c r="AB190" s="8"/>
      <c r="AC190" s="8"/>
      <c r="AD190" s="8"/>
      <c r="AE190" s="8"/>
      <c r="AF190" s="8"/>
      <c r="AG190" s="8"/>
      <c r="AH190" s="8"/>
      <c r="AI190" s="8"/>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row>
    <row r="191" spans="1:112" s="24" customFormat="1" ht="15.95" customHeight="1" x14ac:dyDescent="0.2">
      <c r="A191" s="127">
        <f t="shared" si="30"/>
        <v>160</v>
      </c>
      <c r="B191" s="112">
        <v>13</v>
      </c>
      <c r="C191" s="116" t="s">
        <v>333</v>
      </c>
      <c r="D191" s="227" t="s">
        <v>334</v>
      </c>
      <c r="E191" s="116" t="s">
        <v>90</v>
      </c>
      <c r="F191" s="118">
        <v>1005000</v>
      </c>
      <c r="G191" s="160"/>
      <c r="H191" s="120">
        <f>897000*2</f>
        <v>1794000</v>
      </c>
      <c r="I191" s="179" t="s">
        <v>40</v>
      </c>
      <c r="J191" s="74">
        <f t="shared" si="28"/>
        <v>1005000</v>
      </c>
      <c r="K191" s="17">
        <f t="shared" si="29"/>
        <v>1794000</v>
      </c>
      <c r="L191" s="11"/>
      <c r="M191" s="11"/>
      <c r="N191" s="11"/>
      <c r="O191" s="11"/>
      <c r="P191" s="11"/>
      <c r="Q191" s="11"/>
      <c r="R191" s="11"/>
      <c r="S191" s="8"/>
      <c r="T191" s="8"/>
      <c r="U191" s="8"/>
      <c r="V191" s="8"/>
      <c r="W191" s="8"/>
      <c r="X191" s="8"/>
      <c r="Y191" s="8"/>
      <c r="Z191" s="8"/>
      <c r="AA191" s="8"/>
      <c r="AB191" s="8"/>
      <c r="AC191" s="8"/>
      <c r="AD191" s="8"/>
      <c r="AE191" s="8"/>
      <c r="AF191" s="8"/>
      <c r="AG191" s="8"/>
      <c r="AH191" s="8"/>
      <c r="AI191" s="8"/>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row>
    <row r="192" spans="1:112" s="24" customFormat="1" ht="15.95" customHeight="1" x14ac:dyDescent="0.2">
      <c r="A192" s="127">
        <f t="shared" si="30"/>
        <v>161</v>
      </c>
      <c r="B192" s="112">
        <v>14</v>
      </c>
      <c r="C192" s="116" t="s">
        <v>335</v>
      </c>
      <c r="D192" s="227" t="s">
        <v>336</v>
      </c>
      <c r="E192" s="116" t="s">
        <v>337</v>
      </c>
      <c r="F192" s="118">
        <f>300538.87+2620000</f>
        <v>2920538.87</v>
      </c>
      <c r="G192" s="160"/>
      <c r="H192" s="120">
        <v>1446000</v>
      </c>
      <c r="I192" s="179" t="s">
        <v>40</v>
      </c>
      <c r="J192" s="74">
        <f t="shared" si="28"/>
        <v>2920538.87</v>
      </c>
      <c r="K192" s="17">
        <f t="shared" si="29"/>
        <v>1446000</v>
      </c>
      <c r="L192" s="11"/>
      <c r="M192" s="11"/>
      <c r="N192" s="11"/>
      <c r="O192" s="11"/>
      <c r="P192" s="11"/>
      <c r="Q192" s="11"/>
      <c r="R192" s="11"/>
      <c r="S192" s="8"/>
      <c r="T192" s="8"/>
      <c r="U192" s="8"/>
      <c r="V192" s="8"/>
      <c r="W192" s="8"/>
      <c r="X192" s="8"/>
      <c r="Y192" s="8"/>
      <c r="Z192" s="8"/>
      <c r="AA192" s="8"/>
      <c r="AB192" s="8"/>
      <c r="AC192" s="8"/>
      <c r="AD192" s="8"/>
      <c r="AE192" s="8"/>
      <c r="AF192" s="8"/>
      <c r="AG192" s="8"/>
      <c r="AH192" s="8"/>
      <c r="AI192" s="8"/>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row>
    <row r="193" spans="1:112" s="31" customFormat="1" ht="15.95" customHeight="1" x14ac:dyDescent="0.2">
      <c r="A193" s="127">
        <f t="shared" si="30"/>
        <v>162</v>
      </c>
      <c r="B193" s="112">
        <v>15</v>
      </c>
      <c r="C193" s="116" t="s">
        <v>338</v>
      </c>
      <c r="D193" s="227" t="s">
        <v>339</v>
      </c>
      <c r="E193" s="116" t="s">
        <v>81</v>
      </c>
      <c r="F193" s="118">
        <v>10201.200000000001</v>
      </c>
      <c r="G193" s="160"/>
      <c r="H193" s="120">
        <v>100000</v>
      </c>
      <c r="I193" s="179" t="s">
        <v>40</v>
      </c>
      <c r="J193" s="74">
        <f t="shared" si="28"/>
        <v>10201.200000000001</v>
      </c>
      <c r="K193" s="17">
        <f t="shared" si="29"/>
        <v>100000</v>
      </c>
      <c r="L193" s="11"/>
      <c r="M193" s="11"/>
      <c r="N193" s="11"/>
      <c r="O193" s="11"/>
      <c r="P193" s="11"/>
      <c r="Q193" s="11"/>
      <c r="R193" s="11"/>
      <c r="S193" s="8"/>
      <c r="T193" s="8"/>
      <c r="U193" s="8"/>
      <c r="V193" s="8"/>
      <c r="W193" s="8"/>
      <c r="X193" s="8"/>
      <c r="Y193" s="8"/>
      <c r="Z193" s="8"/>
      <c r="AA193" s="8"/>
      <c r="AB193" s="8"/>
      <c r="AC193" s="8"/>
      <c r="AD193" s="8"/>
      <c r="AE193" s="8"/>
      <c r="AF193" s="8"/>
      <c r="AG193" s="8"/>
      <c r="AH193" s="8"/>
      <c r="AI193" s="8"/>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row>
    <row r="194" spans="1:112" ht="15.95" customHeight="1" x14ac:dyDescent="0.2">
      <c r="A194" s="127">
        <f t="shared" si="30"/>
        <v>163</v>
      </c>
      <c r="B194" s="112">
        <v>16</v>
      </c>
      <c r="C194" s="116" t="s">
        <v>340</v>
      </c>
      <c r="D194" s="227" t="s">
        <v>341</v>
      </c>
      <c r="E194" s="116" t="s">
        <v>104</v>
      </c>
      <c r="F194" s="118">
        <v>22119121</v>
      </c>
      <c r="G194" s="160"/>
      <c r="H194" s="120"/>
      <c r="I194" s="179"/>
      <c r="J194" s="74">
        <f t="shared" si="28"/>
        <v>22119121</v>
      </c>
      <c r="K194" s="17">
        <f t="shared" si="29"/>
        <v>0</v>
      </c>
    </row>
    <row r="195" spans="1:112" ht="15.95" customHeight="1" x14ac:dyDescent="0.2">
      <c r="A195" s="127">
        <f t="shared" si="30"/>
        <v>164</v>
      </c>
      <c r="B195" s="112">
        <f t="shared" ref="B195:B201" si="31">+B194+1</f>
        <v>17</v>
      </c>
      <c r="C195" s="116" t="s">
        <v>340</v>
      </c>
      <c r="D195" s="227" t="s">
        <v>342</v>
      </c>
      <c r="E195" s="116" t="s">
        <v>104</v>
      </c>
      <c r="F195" s="118">
        <v>32690121</v>
      </c>
      <c r="G195" s="160"/>
      <c r="H195" s="120"/>
      <c r="I195" s="180"/>
      <c r="J195" s="74">
        <f t="shared" si="28"/>
        <v>32690121</v>
      </c>
      <c r="K195" s="17">
        <f t="shared" si="29"/>
        <v>0</v>
      </c>
    </row>
    <row r="196" spans="1:112" ht="15.95" customHeight="1" x14ac:dyDescent="0.2">
      <c r="A196" s="127">
        <f t="shared" si="30"/>
        <v>165</v>
      </c>
      <c r="B196" s="112">
        <f t="shared" si="31"/>
        <v>18</v>
      </c>
      <c r="C196" s="116" t="s">
        <v>340</v>
      </c>
      <c r="D196" s="227" t="s">
        <v>343</v>
      </c>
      <c r="E196" s="116" t="s">
        <v>104</v>
      </c>
      <c r="F196" s="118">
        <v>22885121</v>
      </c>
      <c r="G196" s="160"/>
      <c r="H196" s="120"/>
      <c r="I196" s="180"/>
      <c r="J196" s="74">
        <f t="shared" si="28"/>
        <v>22885121</v>
      </c>
      <c r="K196" s="17">
        <f t="shared" si="29"/>
        <v>0</v>
      </c>
    </row>
    <row r="197" spans="1:112" ht="15.95" customHeight="1" x14ac:dyDescent="0.2">
      <c r="A197" s="127">
        <f t="shared" si="30"/>
        <v>166</v>
      </c>
      <c r="B197" s="112">
        <f t="shared" si="31"/>
        <v>19</v>
      </c>
      <c r="C197" s="116" t="s">
        <v>340</v>
      </c>
      <c r="D197" s="227" t="s">
        <v>344</v>
      </c>
      <c r="E197" s="116" t="s">
        <v>104</v>
      </c>
      <c r="F197" s="118">
        <v>67879121</v>
      </c>
      <c r="G197" s="160"/>
      <c r="H197" s="120"/>
      <c r="I197" s="179"/>
      <c r="J197" s="74">
        <f t="shared" si="28"/>
        <v>67879121</v>
      </c>
      <c r="K197" s="17">
        <f t="shared" si="29"/>
        <v>0</v>
      </c>
    </row>
    <row r="198" spans="1:112" ht="15.95" customHeight="1" x14ac:dyDescent="0.2">
      <c r="A198" s="127">
        <f t="shared" si="30"/>
        <v>167</v>
      </c>
      <c r="B198" s="112">
        <f t="shared" si="31"/>
        <v>20</v>
      </c>
      <c r="C198" s="116" t="s">
        <v>340</v>
      </c>
      <c r="D198" s="227" t="s">
        <v>345</v>
      </c>
      <c r="E198" s="116" t="s">
        <v>68</v>
      </c>
      <c r="F198" s="119">
        <f>9138160/3.05</f>
        <v>2996118.0327868853</v>
      </c>
      <c r="G198" s="161"/>
      <c r="H198" s="120"/>
      <c r="I198" s="179"/>
      <c r="J198" s="74">
        <f t="shared" si="28"/>
        <v>2996118.0327868853</v>
      </c>
      <c r="K198" s="17">
        <f t="shared" si="29"/>
        <v>0</v>
      </c>
    </row>
    <row r="199" spans="1:112" ht="15.95" customHeight="1" x14ac:dyDescent="0.2">
      <c r="A199" s="127">
        <f t="shared" si="30"/>
        <v>168</v>
      </c>
      <c r="B199" s="112">
        <f t="shared" si="31"/>
        <v>21</v>
      </c>
      <c r="C199" s="116" t="s">
        <v>346</v>
      </c>
      <c r="D199" s="227" t="s">
        <v>347</v>
      </c>
      <c r="E199" s="116" t="s">
        <v>90</v>
      </c>
      <c r="F199" s="118">
        <f>445005.8-10077+8521-13000+9254.5</f>
        <v>439704.3</v>
      </c>
      <c r="G199" s="160"/>
      <c r="H199" s="120">
        <v>2356872.7000000002</v>
      </c>
      <c r="I199" s="179" t="s">
        <v>40</v>
      </c>
      <c r="J199" s="74">
        <f t="shared" si="28"/>
        <v>439704.3</v>
      </c>
      <c r="K199" s="17">
        <f t="shared" si="29"/>
        <v>2356872.7000000002</v>
      </c>
    </row>
    <row r="200" spans="1:112" ht="15.95" customHeight="1" x14ac:dyDescent="0.2">
      <c r="A200" s="127">
        <f t="shared" si="30"/>
        <v>169</v>
      </c>
      <c r="B200" s="112">
        <f t="shared" si="31"/>
        <v>22</v>
      </c>
      <c r="C200" s="116" t="s">
        <v>348</v>
      </c>
      <c r="D200" s="227" t="s">
        <v>349</v>
      </c>
      <c r="E200" s="116" t="s">
        <v>90</v>
      </c>
      <c r="F200" s="118">
        <v>1960571.5</v>
      </c>
      <c r="G200" s="160"/>
      <c r="H200" s="120">
        <v>1961020</v>
      </c>
      <c r="I200" s="179" t="s">
        <v>40</v>
      </c>
      <c r="J200" s="74">
        <f t="shared" si="28"/>
        <v>1960571.5</v>
      </c>
      <c r="K200" s="74">
        <f>+H200</f>
        <v>1961020</v>
      </c>
    </row>
    <row r="201" spans="1:112" s="32" customFormat="1" ht="15.95" customHeight="1" x14ac:dyDescent="0.2">
      <c r="A201" s="129">
        <f t="shared" si="30"/>
        <v>170</v>
      </c>
      <c r="B201" s="130">
        <f t="shared" si="31"/>
        <v>23</v>
      </c>
      <c r="C201" s="131" t="s">
        <v>350</v>
      </c>
      <c r="D201" s="229" t="s">
        <v>351</v>
      </c>
      <c r="E201" s="131" t="s">
        <v>90</v>
      </c>
      <c r="F201" s="132">
        <f>122620+89020+119620</f>
        <v>331260</v>
      </c>
      <c r="G201" s="162"/>
      <c r="H201" s="133">
        <f>306500+222500+299000</f>
        <v>828000</v>
      </c>
      <c r="I201" s="184" t="s">
        <v>40</v>
      </c>
      <c r="J201" s="74">
        <f t="shared" si="28"/>
        <v>331260</v>
      </c>
      <c r="K201" s="17">
        <f t="shared" si="29"/>
        <v>828000</v>
      </c>
      <c r="L201" s="11"/>
      <c r="M201" s="11"/>
      <c r="N201" s="11"/>
      <c r="O201" s="11"/>
      <c r="P201" s="11"/>
      <c r="Q201" s="11"/>
      <c r="R201" s="11"/>
      <c r="S201" s="8"/>
      <c r="T201" s="8"/>
      <c r="U201" s="8"/>
      <c r="V201" s="8"/>
      <c r="W201" s="8"/>
      <c r="X201" s="8"/>
      <c r="Y201" s="8"/>
      <c r="Z201" s="8"/>
      <c r="AA201" s="8"/>
      <c r="AB201" s="8"/>
      <c r="AC201" s="8"/>
      <c r="AD201" s="8"/>
      <c r="AE201" s="8"/>
      <c r="AF201" s="8"/>
      <c r="AG201" s="8"/>
      <c r="AH201" s="8"/>
      <c r="AI201" s="8"/>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c r="DB201" s="9"/>
      <c r="DC201" s="9"/>
      <c r="DD201" s="9"/>
      <c r="DE201" s="9"/>
      <c r="DF201" s="9"/>
      <c r="DG201" s="9"/>
      <c r="DH201" s="76"/>
    </row>
    <row r="202" spans="1:112" s="29" customFormat="1" ht="15.95" customHeight="1" x14ac:dyDescent="0.2">
      <c r="A202" s="16" t="s">
        <v>352</v>
      </c>
      <c r="B202" s="52"/>
      <c r="C202" s="66"/>
      <c r="D202" s="230"/>
      <c r="E202" s="66"/>
      <c r="F202" s="108">
        <f>SUM(F179:F201)</f>
        <v>251186509.03956541</v>
      </c>
      <c r="G202" s="157"/>
      <c r="H202" s="134">
        <f>SUM(H179:H201)</f>
        <v>23729712.699999999</v>
      </c>
      <c r="I202" s="183"/>
      <c r="J202" s="74"/>
      <c r="K202" s="17"/>
      <c r="L202" s="11"/>
      <c r="M202" s="11"/>
      <c r="N202" s="11"/>
      <c r="O202" s="11"/>
      <c r="P202" s="11"/>
      <c r="Q202" s="11"/>
      <c r="R202" s="11"/>
      <c r="S202" s="8"/>
      <c r="T202" s="8"/>
      <c r="U202" s="8"/>
      <c r="V202" s="8"/>
      <c r="W202" s="8"/>
      <c r="X202" s="8"/>
      <c r="Y202" s="8"/>
      <c r="Z202" s="8"/>
      <c r="AA202" s="8"/>
      <c r="AB202" s="8"/>
      <c r="AC202" s="8"/>
      <c r="AD202" s="8"/>
      <c r="AE202" s="8"/>
      <c r="AF202" s="8"/>
      <c r="AG202" s="8"/>
      <c r="AH202" s="8"/>
      <c r="AI202" s="8"/>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row>
    <row r="203" spans="1:112" ht="15.95" customHeight="1" x14ac:dyDescent="0.2">
      <c r="A203" s="257">
        <v>1999</v>
      </c>
      <c r="B203" s="258"/>
      <c r="C203" s="258"/>
      <c r="D203" s="258"/>
      <c r="E203" s="258"/>
      <c r="F203" s="258"/>
      <c r="G203" s="258"/>
      <c r="H203" s="258"/>
      <c r="I203" s="259"/>
      <c r="J203" s="74">
        <f t="shared" ref="J203:J219" si="32">+F203</f>
        <v>0</v>
      </c>
      <c r="K203" s="17">
        <f t="shared" ref="K203:K219" si="33">+H203</f>
        <v>0</v>
      </c>
    </row>
    <row r="204" spans="1:112" ht="15.95" customHeight="1" x14ac:dyDescent="0.2">
      <c r="A204" s="99">
        <f>A201+1</f>
        <v>171</v>
      </c>
      <c r="B204" s="100">
        <v>1</v>
      </c>
      <c r="C204" s="103" t="s">
        <v>353</v>
      </c>
      <c r="D204" s="223" t="s">
        <v>354</v>
      </c>
      <c r="E204" s="103" t="s">
        <v>104</v>
      </c>
      <c r="F204" s="117">
        <f>33994884.1/3.372</f>
        <v>10081519.602609728</v>
      </c>
      <c r="G204" s="159"/>
      <c r="H204" s="105"/>
      <c r="I204" s="176"/>
      <c r="J204" s="74">
        <f t="shared" si="32"/>
        <v>10081519.602609728</v>
      </c>
      <c r="K204" s="17">
        <f t="shared" si="33"/>
        <v>0</v>
      </c>
    </row>
    <row r="205" spans="1:112" ht="15.95" customHeight="1" x14ac:dyDescent="0.2">
      <c r="A205" s="127">
        <f t="shared" ref="A205:A219" si="34">+A204+1</f>
        <v>172</v>
      </c>
      <c r="B205" s="112">
        <v>2</v>
      </c>
      <c r="C205" s="116" t="s">
        <v>355</v>
      </c>
      <c r="D205" s="227" t="s">
        <v>356</v>
      </c>
      <c r="E205" s="116" t="s">
        <v>90</v>
      </c>
      <c r="F205" s="118">
        <v>23824</v>
      </c>
      <c r="G205" s="160"/>
      <c r="H205" s="120">
        <v>15830</v>
      </c>
      <c r="I205" s="179" t="s">
        <v>40</v>
      </c>
      <c r="J205" s="74">
        <f t="shared" si="32"/>
        <v>23824</v>
      </c>
      <c r="K205" s="17">
        <f t="shared" si="33"/>
        <v>15830</v>
      </c>
    </row>
    <row r="206" spans="1:112" ht="15.95" customHeight="1" x14ac:dyDescent="0.2">
      <c r="A206" s="127">
        <f t="shared" si="34"/>
        <v>173</v>
      </c>
      <c r="B206" s="112">
        <v>3</v>
      </c>
      <c r="C206" s="116" t="s">
        <v>357</v>
      </c>
      <c r="D206" s="227" t="s">
        <v>358</v>
      </c>
      <c r="E206" s="116" t="s">
        <v>90</v>
      </c>
      <c r="F206" s="118">
        <f>23751+16670+53419+71430+27890</f>
        <v>193160</v>
      </c>
      <c r="G206" s="160"/>
      <c r="H206" s="120">
        <f>45750+41430+53100+108570+11110</f>
        <v>259960</v>
      </c>
      <c r="I206" s="179" t="s">
        <v>40</v>
      </c>
      <c r="J206" s="74">
        <f t="shared" si="32"/>
        <v>193160</v>
      </c>
      <c r="K206" s="17">
        <f t="shared" si="33"/>
        <v>259960</v>
      </c>
    </row>
    <row r="207" spans="1:112" ht="15.95" customHeight="1" x14ac:dyDescent="0.2">
      <c r="A207" s="127">
        <f t="shared" si="34"/>
        <v>174</v>
      </c>
      <c r="B207" s="112">
        <f t="shared" ref="B207:B219" si="35">+B206+1</f>
        <v>4</v>
      </c>
      <c r="C207" s="116" t="s">
        <v>359</v>
      </c>
      <c r="D207" s="227" t="s">
        <v>360</v>
      </c>
      <c r="E207" s="116" t="s">
        <v>104</v>
      </c>
      <c r="F207" s="118">
        <f>103500000/3.346</f>
        <v>30932456.664674237</v>
      </c>
      <c r="G207" s="160"/>
      <c r="H207" s="120"/>
      <c r="I207" s="180"/>
      <c r="J207" s="74">
        <f t="shared" si="32"/>
        <v>30932456.664674237</v>
      </c>
      <c r="K207" s="17">
        <f t="shared" si="33"/>
        <v>0</v>
      </c>
    </row>
    <row r="208" spans="1:112" ht="15.95" customHeight="1" x14ac:dyDescent="0.2">
      <c r="A208" s="127">
        <f t="shared" si="34"/>
        <v>175</v>
      </c>
      <c r="B208" s="112">
        <f t="shared" si="35"/>
        <v>5</v>
      </c>
      <c r="C208" s="116" t="s">
        <v>361</v>
      </c>
      <c r="D208" s="227" t="s">
        <v>362</v>
      </c>
      <c r="E208" s="116" t="s">
        <v>14</v>
      </c>
      <c r="F208" s="118">
        <v>61777777</v>
      </c>
      <c r="G208" s="160"/>
      <c r="H208" s="120">
        <v>70000000</v>
      </c>
      <c r="I208" s="179" t="s">
        <v>40</v>
      </c>
      <c r="J208" s="74">
        <f t="shared" si="32"/>
        <v>61777777</v>
      </c>
      <c r="K208" s="17">
        <f t="shared" si="33"/>
        <v>70000000</v>
      </c>
    </row>
    <row r="209" spans="1:111" s="26" customFormat="1" ht="15.95" customHeight="1" x14ac:dyDescent="0.2">
      <c r="A209" s="127">
        <f t="shared" si="34"/>
        <v>176</v>
      </c>
      <c r="B209" s="112">
        <f t="shared" si="35"/>
        <v>6</v>
      </c>
      <c r="C209" s="128" t="s">
        <v>363</v>
      </c>
      <c r="D209" s="227" t="s">
        <v>364</v>
      </c>
      <c r="E209" s="116" t="s">
        <v>68</v>
      </c>
      <c r="F209" s="118">
        <v>186396.03</v>
      </c>
      <c r="G209" s="160"/>
      <c r="H209" s="120"/>
      <c r="I209" s="179"/>
      <c r="J209" s="74">
        <f t="shared" si="32"/>
        <v>186396.03</v>
      </c>
      <c r="K209" s="17">
        <f t="shared" si="33"/>
        <v>0</v>
      </c>
      <c r="L209" s="11"/>
      <c r="M209" s="11"/>
      <c r="N209" s="11"/>
      <c r="O209" s="11"/>
      <c r="P209" s="11"/>
      <c r="Q209" s="11"/>
      <c r="R209" s="11"/>
      <c r="S209" s="8"/>
      <c r="T209" s="8"/>
      <c r="U209" s="8"/>
      <c r="V209" s="8"/>
      <c r="W209" s="8"/>
      <c r="X209" s="8"/>
      <c r="Y209" s="8"/>
      <c r="Z209" s="8"/>
      <c r="AA209" s="8"/>
      <c r="AB209" s="8"/>
      <c r="AC209" s="8"/>
      <c r="AD209" s="8"/>
      <c r="AE209" s="8"/>
      <c r="AF209" s="8"/>
      <c r="AG209" s="8"/>
      <c r="AH209" s="8"/>
      <c r="AI209" s="8"/>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c r="CX209" s="9"/>
      <c r="CY209" s="9"/>
      <c r="CZ209" s="9"/>
      <c r="DA209" s="9"/>
      <c r="DB209" s="9"/>
      <c r="DC209" s="9"/>
      <c r="DD209" s="9"/>
      <c r="DE209" s="9"/>
      <c r="DF209" s="9"/>
      <c r="DG209" s="9"/>
    </row>
    <row r="210" spans="1:111" s="35" customFormat="1" ht="15.95" customHeight="1" x14ac:dyDescent="0.2">
      <c r="A210" s="127">
        <f t="shared" si="34"/>
        <v>177</v>
      </c>
      <c r="B210" s="112">
        <f t="shared" si="35"/>
        <v>7</v>
      </c>
      <c r="C210" s="116" t="s">
        <v>365</v>
      </c>
      <c r="D210" s="227" t="s">
        <v>366</v>
      </c>
      <c r="E210" s="116" t="s">
        <v>90</v>
      </c>
      <c r="F210" s="118">
        <v>88164</v>
      </c>
      <c r="G210" s="160"/>
      <c r="H210" s="120">
        <v>192100</v>
      </c>
      <c r="I210" s="180" t="s">
        <v>40</v>
      </c>
      <c r="J210" s="74">
        <f t="shared" si="32"/>
        <v>88164</v>
      </c>
      <c r="K210" s="17">
        <f t="shared" si="33"/>
        <v>192100</v>
      </c>
      <c r="L210" s="33"/>
      <c r="M210" s="33"/>
      <c r="N210" s="33"/>
      <c r="O210" s="33"/>
      <c r="P210" s="33"/>
      <c r="Q210" s="33"/>
      <c r="R210" s="33"/>
      <c r="S210" s="34"/>
      <c r="T210" s="34"/>
      <c r="U210" s="34"/>
      <c r="V210" s="34"/>
      <c r="W210" s="34"/>
      <c r="X210" s="34"/>
      <c r="Y210" s="34"/>
      <c r="Z210" s="34"/>
      <c r="AA210" s="34"/>
      <c r="AB210" s="34"/>
      <c r="AC210" s="34"/>
      <c r="AD210" s="34"/>
      <c r="AE210" s="34"/>
      <c r="AF210" s="34"/>
      <c r="AG210" s="34"/>
      <c r="AH210" s="34"/>
      <c r="AI210" s="34"/>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row>
    <row r="211" spans="1:111" s="36" customFormat="1" ht="15.95" customHeight="1" x14ac:dyDescent="0.2">
      <c r="A211" s="127">
        <f t="shared" si="34"/>
        <v>178</v>
      </c>
      <c r="B211" s="112">
        <f t="shared" si="35"/>
        <v>8</v>
      </c>
      <c r="C211" s="116" t="s">
        <v>367</v>
      </c>
      <c r="D211" s="227" t="s">
        <v>368</v>
      </c>
      <c r="E211" s="116" t="s">
        <v>84</v>
      </c>
      <c r="F211" s="118">
        <v>88351116</v>
      </c>
      <c r="G211" s="160"/>
      <c r="H211" s="120"/>
      <c r="I211" s="179"/>
      <c r="J211" s="74">
        <f t="shared" si="32"/>
        <v>88351116</v>
      </c>
      <c r="K211" s="17">
        <f t="shared" si="33"/>
        <v>0</v>
      </c>
      <c r="L211" s="33"/>
      <c r="M211" s="33"/>
      <c r="N211" s="33"/>
      <c r="O211" s="33"/>
      <c r="P211" s="33"/>
      <c r="Q211" s="33"/>
      <c r="R211" s="33"/>
      <c r="S211" s="34"/>
      <c r="T211" s="34"/>
      <c r="U211" s="34"/>
      <c r="V211" s="34"/>
      <c r="W211" s="34"/>
      <c r="X211" s="34"/>
      <c r="Y211" s="34"/>
      <c r="Z211" s="34"/>
      <c r="AA211" s="34"/>
      <c r="AB211" s="34"/>
      <c r="AC211" s="34"/>
      <c r="AD211" s="34"/>
      <c r="AE211" s="34"/>
      <c r="AF211" s="34"/>
      <c r="AG211" s="34"/>
      <c r="AH211" s="34"/>
      <c r="AI211" s="34"/>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row>
    <row r="212" spans="1:111" s="37" customFormat="1" ht="15.95" customHeight="1" x14ac:dyDescent="0.2">
      <c r="A212" s="127">
        <f t="shared" si="34"/>
        <v>179</v>
      </c>
      <c r="B212" s="112">
        <f t="shared" si="35"/>
        <v>9</v>
      </c>
      <c r="C212" s="116" t="s">
        <v>369</v>
      </c>
      <c r="D212" s="227" t="s">
        <v>370</v>
      </c>
      <c r="E212" s="116" t="s">
        <v>90</v>
      </c>
      <c r="F212" s="118">
        <f>5311628.84-3143000</f>
        <v>2168628.84</v>
      </c>
      <c r="G212" s="160"/>
      <c r="H212" s="120">
        <v>3143000</v>
      </c>
      <c r="I212" s="179" t="s">
        <v>40</v>
      </c>
      <c r="J212" s="74">
        <f t="shared" si="32"/>
        <v>2168628.84</v>
      </c>
      <c r="K212" s="17">
        <f t="shared" si="33"/>
        <v>3143000</v>
      </c>
      <c r="L212" s="33"/>
      <c r="M212" s="33"/>
      <c r="N212" s="33"/>
      <c r="O212" s="33"/>
      <c r="P212" s="33"/>
      <c r="Q212" s="33"/>
      <c r="R212" s="33"/>
      <c r="S212" s="34"/>
      <c r="T212" s="34"/>
      <c r="U212" s="34"/>
      <c r="V212" s="34"/>
      <c r="W212" s="34"/>
      <c r="X212" s="34"/>
      <c r="Y212" s="34"/>
      <c r="Z212" s="34"/>
      <c r="AA212" s="34"/>
      <c r="AB212" s="34"/>
      <c r="AC212" s="34"/>
      <c r="AD212" s="34"/>
      <c r="AE212" s="34"/>
      <c r="AF212" s="34"/>
      <c r="AG212" s="34"/>
      <c r="AH212" s="34"/>
      <c r="AI212" s="34"/>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row>
    <row r="213" spans="1:111" s="12" customFormat="1" ht="15.95" customHeight="1" x14ac:dyDescent="0.2">
      <c r="A213" s="127">
        <f t="shared" si="34"/>
        <v>180</v>
      </c>
      <c r="B213" s="112">
        <f t="shared" si="35"/>
        <v>10</v>
      </c>
      <c r="C213" s="116" t="s">
        <v>371</v>
      </c>
      <c r="D213" s="227" t="s">
        <v>372</v>
      </c>
      <c r="E213" s="116" t="s">
        <v>90</v>
      </c>
      <c r="F213" s="118">
        <v>711704</v>
      </c>
      <c r="G213" s="160"/>
      <c r="H213" s="120">
        <v>1092450</v>
      </c>
      <c r="I213" s="179" t="s">
        <v>40</v>
      </c>
      <c r="J213" s="74">
        <f t="shared" si="32"/>
        <v>711704</v>
      </c>
      <c r="K213" s="17">
        <f t="shared" si="33"/>
        <v>1092450</v>
      </c>
      <c r="L213" s="33"/>
      <c r="M213" s="33"/>
      <c r="N213" s="33"/>
      <c r="O213" s="33"/>
      <c r="P213" s="33"/>
      <c r="Q213" s="33"/>
      <c r="R213" s="33"/>
      <c r="S213" s="34"/>
      <c r="T213" s="34"/>
      <c r="U213" s="34"/>
      <c r="V213" s="34"/>
      <c r="W213" s="34"/>
      <c r="X213" s="34"/>
      <c r="Y213" s="34"/>
      <c r="Z213" s="34"/>
      <c r="AA213" s="34"/>
      <c r="AB213" s="34"/>
      <c r="AC213" s="34"/>
      <c r="AD213" s="34"/>
      <c r="AE213" s="34"/>
      <c r="AF213" s="34"/>
      <c r="AG213" s="34"/>
      <c r="AH213" s="34"/>
      <c r="AI213" s="34"/>
    </row>
    <row r="214" spans="1:111" ht="15.95" customHeight="1" x14ac:dyDescent="0.2">
      <c r="A214" s="127">
        <f t="shared" si="34"/>
        <v>181</v>
      </c>
      <c r="B214" s="112">
        <f t="shared" si="35"/>
        <v>11</v>
      </c>
      <c r="C214" s="116" t="s">
        <v>373</v>
      </c>
      <c r="D214" s="227" t="s">
        <v>374</v>
      </c>
      <c r="E214" s="116" t="s">
        <v>14</v>
      </c>
      <c r="F214" s="118">
        <v>207270.41</v>
      </c>
      <c r="G214" s="160"/>
      <c r="H214" s="120"/>
      <c r="I214" s="179"/>
      <c r="J214" s="74">
        <f t="shared" si="32"/>
        <v>207270.41</v>
      </c>
      <c r="K214" s="17">
        <f t="shared" si="33"/>
        <v>0</v>
      </c>
    </row>
    <row r="215" spans="1:111" s="12" customFormat="1" ht="15.95" customHeight="1" x14ac:dyDescent="0.2">
      <c r="A215" s="127">
        <f t="shared" si="34"/>
        <v>182</v>
      </c>
      <c r="B215" s="112">
        <f t="shared" si="35"/>
        <v>12</v>
      </c>
      <c r="C215" s="116" t="s">
        <v>375</v>
      </c>
      <c r="D215" s="227" t="s">
        <v>376</v>
      </c>
      <c r="E215" s="116" t="s">
        <v>104</v>
      </c>
      <c r="F215" s="118">
        <v>60000052</v>
      </c>
      <c r="G215" s="160"/>
      <c r="H215" s="120"/>
      <c r="I215" s="179"/>
      <c r="J215" s="74">
        <f t="shared" si="32"/>
        <v>60000052</v>
      </c>
      <c r="K215" s="17">
        <f t="shared" si="33"/>
        <v>0</v>
      </c>
      <c r="L215" s="33"/>
      <c r="M215" s="33"/>
      <c r="N215" s="33"/>
      <c r="O215" s="33"/>
      <c r="P215" s="33"/>
      <c r="Q215" s="33"/>
      <c r="R215" s="33"/>
      <c r="S215" s="34"/>
      <c r="T215" s="34"/>
      <c r="U215" s="34"/>
      <c r="V215" s="34"/>
      <c r="W215" s="34"/>
      <c r="X215" s="34"/>
      <c r="Y215" s="34"/>
      <c r="Z215" s="34"/>
      <c r="AA215" s="34"/>
      <c r="AB215" s="34"/>
      <c r="AC215" s="34"/>
      <c r="AD215" s="34"/>
      <c r="AE215" s="34"/>
      <c r="AF215" s="34"/>
      <c r="AG215" s="34"/>
      <c r="AH215" s="34"/>
      <c r="AI215" s="34"/>
    </row>
    <row r="216" spans="1:111" s="36" customFormat="1" ht="15.95" customHeight="1" x14ac:dyDescent="0.2">
      <c r="A216" s="127">
        <f t="shared" si="34"/>
        <v>183</v>
      </c>
      <c r="B216" s="112">
        <f t="shared" si="35"/>
        <v>13</v>
      </c>
      <c r="C216" s="116" t="s">
        <v>377</v>
      </c>
      <c r="D216" s="227" t="s">
        <v>378</v>
      </c>
      <c r="E216" s="116" t="s">
        <v>90</v>
      </c>
      <c r="F216" s="118">
        <v>2307001</v>
      </c>
      <c r="G216" s="160"/>
      <c r="H216" s="120">
        <v>8000000</v>
      </c>
      <c r="I216" s="179" t="s">
        <v>379</v>
      </c>
      <c r="J216" s="74">
        <f t="shared" si="32"/>
        <v>2307001</v>
      </c>
      <c r="K216" s="17">
        <f t="shared" si="33"/>
        <v>8000000</v>
      </c>
      <c r="L216" s="33"/>
      <c r="M216" s="33"/>
      <c r="N216" s="33"/>
      <c r="O216" s="33"/>
      <c r="P216" s="33"/>
      <c r="Q216" s="33"/>
      <c r="R216" s="33"/>
      <c r="S216" s="34"/>
      <c r="T216" s="34"/>
      <c r="U216" s="34"/>
      <c r="V216" s="34"/>
      <c r="W216" s="34"/>
      <c r="X216" s="34"/>
      <c r="Y216" s="34"/>
      <c r="Z216" s="34"/>
      <c r="AA216" s="34"/>
      <c r="AB216" s="34"/>
      <c r="AC216" s="34"/>
      <c r="AD216" s="34"/>
      <c r="AE216" s="34"/>
      <c r="AF216" s="34"/>
      <c r="AG216" s="34"/>
      <c r="AH216" s="34"/>
      <c r="AI216" s="34"/>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row>
    <row r="217" spans="1:111" s="12" customFormat="1" ht="15.95" customHeight="1" x14ac:dyDescent="0.2">
      <c r="A217" s="127">
        <f t="shared" si="34"/>
        <v>184</v>
      </c>
      <c r="B217" s="112">
        <f t="shared" si="35"/>
        <v>14</v>
      </c>
      <c r="C217" s="116" t="s">
        <v>380</v>
      </c>
      <c r="D217" s="227" t="s">
        <v>381</v>
      </c>
      <c r="E217" s="116" t="s">
        <v>104</v>
      </c>
      <c r="F217" s="118">
        <f>84000000/3.45</f>
        <v>24347826.08695652</v>
      </c>
      <c r="G217" s="160"/>
      <c r="H217" s="120"/>
      <c r="I217" s="179"/>
      <c r="J217" s="74">
        <f t="shared" si="32"/>
        <v>24347826.08695652</v>
      </c>
      <c r="K217" s="17">
        <f t="shared" si="33"/>
        <v>0</v>
      </c>
      <c r="L217" s="33"/>
      <c r="M217" s="33"/>
      <c r="N217" s="33"/>
      <c r="O217" s="33"/>
      <c r="P217" s="33"/>
      <c r="Q217" s="33"/>
      <c r="R217" s="33"/>
      <c r="S217" s="34"/>
      <c r="T217" s="34"/>
      <c r="U217" s="34"/>
      <c r="V217" s="34"/>
      <c r="W217" s="34"/>
      <c r="X217" s="34"/>
      <c r="Y217" s="34"/>
      <c r="Z217" s="34"/>
      <c r="AA217" s="34"/>
      <c r="AB217" s="34"/>
      <c r="AC217" s="34"/>
      <c r="AD217" s="34"/>
      <c r="AE217" s="34"/>
      <c r="AF217" s="34"/>
      <c r="AG217" s="34"/>
      <c r="AH217" s="34"/>
      <c r="AI217" s="34"/>
    </row>
    <row r="218" spans="1:111" s="38" customFormat="1" ht="15.95" customHeight="1" x14ac:dyDescent="0.2">
      <c r="A218" s="127">
        <f t="shared" si="34"/>
        <v>185</v>
      </c>
      <c r="B218" s="112">
        <f t="shared" si="35"/>
        <v>15</v>
      </c>
      <c r="C218" s="116" t="s">
        <v>382</v>
      </c>
      <c r="D218" s="227" t="s">
        <v>383</v>
      </c>
      <c r="E218" s="116" t="s">
        <v>90</v>
      </c>
      <c r="F218" s="118">
        <f>44639+15340</f>
        <v>59979</v>
      </c>
      <c r="G218" s="160"/>
      <c r="H218" s="120">
        <f>89100+29160</f>
        <v>118260</v>
      </c>
      <c r="I218" s="179" t="s">
        <v>40</v>
      </c>
      <c r="J218" s="74">
        <f t="shared" si="32"/>
        <v>59979</v>
      </c>
      <c r="K218" s="17">
        <f t="shared" si="33"/>
        <v>118260</v>
      </c>
      <c r="L218" s="33"/>
      <c r="M218" s="33"/>
      <c r="N218" s="33"/>
      <c r="O218" s="33"/>
      <c r="P218" s="33"/>
      <c r="Q218" s="33"/>
      <c r="R218" s="33"/>
      <c r="S218" s="34"/>
      <c r="T218" s="34"/>
      <c r="U218" s="34"/>
      <c r="V218" s="34"/>
      <c r="W218" s="34"/>
      <c r="X218" s="34"/>
      <c r="Y218" s="34"/>
      <c r="Z218" s="34"/>
      <c r="AA218" s="34"/>
      <c r="AB218" s="34"/>
      <c r="AC218" s="34"/>
      <c r="AD218" s="34"/>
      <c r="AE218" s="34"/>
      <c r="AF218" s="34"/>
      <c r="AG218" s="34"/>
      <c r="AH218" s="34"/>
      <c r="AI218" s="34"/>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row>
    <row r="219" spans="1:111" s="37" customFormat="1" ht="15.95" customHeight="1" x14ac:dyDescent="0.2">
      <c r="A219" s="129">
        <f t="shared" si="34"/>
        <v>186</v>
      </c>
      <c r="B219" s="130">
        <f t="shared" si="35"/>
        <v>16</v>
      </c>
      <c r="C219" s="131" t="s">
        <v>384</v>
      </c>
      <c r="D219" s="229" t="s">
        <v>385</v>
      </c>
      <c r="E219" s="131" t="s">
        <v>313</v>
      </c>
      <c r="F219" s="132">
        <v>2150000</v>
      </c>
      <c r="G219" s="162"/>
      <c r="H219" s="133">
        <v>350000</v>
      </c>
      <c r="I219" s="184" t="s">
        <v>40</v>
      </c>
      <c r="J219" s="74">
        <f t="shared" si="32"/>
        <v>2150000</v>
      </c>
      <c r="K219" s="17">
        <f t="shared" si="33"/>
        <v>350000</v>
      </c>
      <c r="L219" s="33"/>
      <c r="M219" s="33"/>
      <c r="N219" s="33"/>
      <c r="O219" s="33"/>
      <c r="P219" s="33"/>
      <c r="Q219" s="33"/>
      <c r="R219" s="33"/>
      <c r="S219" s="34"/>
      <c r="T219" s="34"/>
      <c r="U219" s="34"/>
      <c r="V219" s="34"/>
      <c r="W219" s="34"/>
      <c r="X219" s="34"/>
      <c r="Y219" s="34"/>
      <c r="Z219" s="34"/>
      <c r="AA219" s="34"/>
      <c r="AB219" s="34"/>
      <c r="AC219" s="34"/>
      <c r="AD219" s="34"/>
      <c r="AE219" s="34"/>
      <c r="AF219" s="34"/>
      <c r="AG219" s="34"/>
      <c r="AH219" s="34"/>
      <c r="AI219" s="34"/>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row>
    <row r="220" spans="1:111" s="29" customFormat="1" ht="15.95" customHeight="1" x14ac:dyDescent="0.2">
      <c r="A220" s="16" t="s">
        <v>386</v>
      </c>
      <c r="B220" s="3"/>
      <c r="C220" s="2"/>
      <c r="D220" s="225"/>
      <c r="E220" s="2"/>
      <c r="F220" s="134">
        <f>SUM(F204:F219)</f>
        <v>283586874.63424045</v>
      </c>
      <c r="G220" s="164"/>
      <c r="H220" s="134">
        <f>SUM(H204:H219)</f>
        <v>83171600</v>
      </c>
      <c r="I220" s="183"/>
      <c r="J220" s="74"/>
      <c r="K220" s="17"/>
      <c r="L220" s="11"/>
      <c r="M220" s="11"/>
      <c r="N220" s="11"/>
      <c r="O220" s="11"/>
      <c r="P220" s="11"/>
      <c r="Q220" s="11"/>
      <c r="R220" s="11"/>
      <c r="S220" s="8"/>
      <c r="T220" s="8"/>
      <c r="U220" s="8"/>
      <c r="V220" s="8"/>
      <c r="W220" s="8"/>
      <c r="X220" s="8"/>
      <c r="Y220" s="8"/>
      <c r="Z220" s="8"/>
      <c r="AA220" s="8"/>
      <c r="AB220" s="8"/>
      <c r="AC220" s="8"/>
      <c r="AD220" s="8"/>
      <c r="AE220" s="8"/>
      <c r="AF220" s="8"/>
      <c r="AG220" s="8"/>
      <c r="AH220" s="8"/>
      <c r="AI220" s="8"/>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c r="CY220" s="9"/>
      <c r="CZ220" s="9"/>
      <c r="DA220" s="9"/>
      <c r="DB220" s="9"/>
      <c r="DC220" s="9"/>
      <c r="DD220" s="9"/>
      <c r="DE220" s="9"/>
      <c r="DF220" s="9"/>
      <c r="DG220" s="9"/>
    </row>
    <row r="221" spans="1:111" ht="15.95" customHeight="1" x14ac:dyDescent="0.2">
      <c r="A221" s="257">
        <v>2000</v>
      </c>
      <c r="B221" s="258"/>
      <c r="C221" s="258"/>
      <c r="D221" s="258"/>
      <c r="E221" s="258"/>
      <c r="F221" s="258"/>
      <c r="G221" s="258"/>
      <c r="H221" s="258"/>
      <c r="I221" s="259"/>
      <c r="J221" s="74">
        <f t="shared" ref="J221:J228" si="36">+F221</f>
        <v>0</v>
      </c>
      <c r="K221" s="17">
        <f t="shared" ref="K221:K228" si="37">+H221</f>
        <v>0</v>
      </c>
    </row>
    <row r="222" spans="1:111" s="12" customFormat="1" ht="15.95" customHeight="1" x14ac:dyDescent="0.2">
      <c r="A222" s="99">
        <f>+A219+1</f>
        <v>187</v>
      </c>
      <c r="B222" s="100">
        <f>+B220+1</f>
        <v>1</v>
      </c>
      <c r="C222" s="103" t="s">
        <v>387</v>
      </c>
      <c r="D222" s="223" t="s">
        <v>388</v>
      </c>
      <c r="E222" s="103" t="s">
        <v>14</v>
      </c>
      <c r="F222" s="117">
        <f>60000*5</f>
        <v>300000</v>
      </c>
      <c r="G222" s="159"/>
      <c r="H222" s="105">
        <v>10729334</v>
      </c>
      <c r="I222" s="176" t="s">
        <v>40</v>
      </c>
      <c r="J222" s="74">
        <f t="shared" si="36"/>
        <v>300000</v>
      </c>
      <c r="K222" s="17">
        <f t="shared" si="37"/>
        <v>10729334</v>
      </c>
      <c r="L222" s="33"/>
      <c r="M222" s="33"/>
      <c r="N222" s="33"/>
      <c r="O222" s="33"/>
      <c r="P222" s="33"/>
      <c r="Q222" s="33"/>
      <c r="R222" s="33"/>
      <c r="S222" s="34"/>
      <c r="T222" s="34"/>
      <c r="U222" s="34"/>
      <c r="V222" s="34"/>
      <c r="W222" s="34"/>
      <c r="X222" s="34"/>
      <c r="Y222" s="34"/>
      <c r="Z222" s="34"/>
      <c r="AA222" s="34"/>
      <c r="AB222" s="34"/>
      <c r="AC222" s="34"/>
      <c r="AD222" s="34"/>
      <c r="AE222" s="34"/>
      <c r="AF222" s="34"/>
      <c r="AG222" s="34"/>
      <c r="AH222" s="34"/>
      <c r="AI222" s="34"/>
    </row>
    <row r="223" spans="1:111" s="12" customFormat="1" ht="15.95" customHeight="1" x14ac:dyDescent="0.2">
      <c r="A223" s="127">
        <f>+A222+1</f>
        <v>188</v>
      </c>
      <c r="B223" s="112">
        <f>+B222+1</f>
        <v>2</v>
      </c>
      <c r="C223" s="116" t="s">
        <v>389</v>
      </c>
      <c r="D223" s="227" t="s">
        <v>390</v>
      </c>
      <c r="E223" s="116" t="s">
        <v>104</v>
      </c>
      <c r="F223" s="118">
        <f>291876394.5/3.481</f>
        <v>83848432.777937382</v>
      </c>
      <c r="G223" s="160"/>
      <c r="H223" s="120"/>
      <c r="I223" s="179"/>
      <c r="J223" s="74">
        <f t="shared" si="36"/>
        <v>83848432.777937382</v>
      </c>
      <c r="K223" s="17">
        <f t="shared" si="37"/>
        <v>0</v>
      </c>
      <c r="L223" s="33"/>
      <c r="M223" s="33"/>
      <c r="N223" s="33"/>
      <c r="O223" s="33"/>
      <c r="P223" s="33"/>
      <c r="Q223" s="33"/>
      <c r="R223" s="33"/>
      <c r="S223" s="34"/>
      <c r="T223" s="34"/>
      <c r="U223" s="34"/>
      <c r="V223" s="34"/>
      <c r="W223" s="34"/>
      <c r="X223" s="34"/>
      <c r="Y223" s="34"/>
      <c r="Z223" s="34"/>
      <c r="AA223" s="34"/>
      <c r="AB223" s="34"/>
      <c r="AC223" s="34"/>
      <c r="AD223" s="34"/>
      <c r="AE223" s="34"/>
      <c r="AF223" s="34"/>
      <c r="AG223" s="34"/>
      <c r="AH223" s="34"/>
      <c r="AI223" s="34"/>
    </row>
    <row r="224" spans="1:111" s="31" customFormat="1" ht="15.95" customHeight="1" x14ac:dyDescent="0.2">
      <c r="A224" s="127">
        <f>A223+1</f>
        <v>189</v>
      </c>
      <c r="B224" s="112">
        <f>+B223+1</f>
        <v>3</v>
      </c>
      <c r="C224" s="116" t="s">
        <v>391</v>
      </c>
      <c r="D224" s="227" t="s">
        <v>392</v>
      </c>
      <c r="E224" s="116" t="s">
        <v>23</v>
      </c>
      <c r="F224" s="118"/>
      <c r="G224" s="160"/>
      <c r="H224" s="120">
        <v>1600000000</v>
      </c>
      <c r="I224" s="179"/>
      <c r="J224" s="74">
        <f>+F224</f>
        <v>0</v>
      </c>
      <c r="K224" s="17">
        <f>+H224</f>
        <v>1600000000</v>
      </c>
      <c r="L224" s="11"/>
      <c r="M224" s="11"/>
      <c r="N224" s="11"/>
      <c r="O224" s="11"/>
      <c r="P224" s="11"/>
      <c r="Q224" s="11"/>
      <c r="R224" s="11"/>
      <c r="S224" s="8"/>
      <c r="T224" s="8"/>
      <c r="U224" s="8"/>
      <c r="V224" s="8"/>
      <c r="W224" s="8"/>
      <c r="X224" s="8"/>
      <c r="Y224" s="8"/>
      <c r="Z224" s="8"/>
      <c r="AA224" s="8"/>
      <c r="AB224" s="8"/>
      <c r="AC224" s="8"/>
      <c r="AD224" s="8"/>
      <c r="AE224" s="8"/>
      <c r="AF224" s="8"/>
      <c r="AG224" s="8"/>
      <c r="AH224" s="8"/>
      <c r="AI224" s="8"/>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c r="DB224" s="9"/>
      <c r="DC224" s="9"/>
      <c r="DD224" s="9"/>
      <c r="DE224" s="9"/>
      <c r="DF224" s="9"/>
      <c r="DG224" s="9"/>
    </row>
    <row r="225" spans="1:112" s="39" customFormat="1" ht="15.95" customHeight="1" x14ac:dyDescent="0.2">
      <c r="A225" s="127">
        <f>A224+1</f>
        <v>190</v>
      </c>
      <c r="B225" s="112">
        <f>+B224+1</f>
        <v>4</v>
      </c>
      <c r="C225" s="116" t="s">
        <v>393</v>
      </c>
      <c r="D225" s="227" t="s">
        <v>394</v>
      </c>
      <c r="E225" s="116" t="s">
        <v>104</v>
      </c>
      <c r="F225" s="118">
        <v>9000009</v>
      </c>
      <c r="G225" s="160"/>
      <c r="H225" s="120"/>
      <c r="I225" s="179"/>
      <c r="J225" s="74">
        <f t="shared" si="36"/>
        <v>9000009</v>
      </c>
      <c r="K225" s="17">
        <f t="shared" si="37"/>
        <v>0</v>
      </c>
      <c r="L225" s="11"/>
      <c r="M225" s="11"/>
      <c r="N225" s="11"/>
      <c r="O225" s="11"/>
      <c r="P225" s="11"/>
      <c r="Q225" s="11"/>
      <c r="R225" s="11"/>
      <c r="S225" s="8"/>
      <c r="T225" s="8"/>
      <c r="U225" s="8"/>
      <c r="V225" s="8"/>
      <c r="W225" s="8"/>
      <c r="X225" s="8"/>
      <c r="Y225" s="8"/>
      <c r="Z225" s="8"/>
      <c r="AA225" s="8"/>
      <c r="AB225" s="8"/>
      <c r="AC225" s="8"/>
      <c r="AD225" s="8"/>
      <c r="AE225" s="8"/>
      <c r="AF225" s="8"/>
      <c r="AG225" s="8"/>
      <c r="AH225" s="8"/>
      <c r="AI225" s="8"/>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c r="DB225" s="9"/>
      <c r="DC225" s="9"/>
      <c r="DD225" s="9"/>
      <c r="DE225" s="9"/>
      <c r="DF225" s="9"/>
      <c r="DG225" s="9"/>
    </row>
    <row r="226" spans="1:112" s="40" customFormat="1" ht="15.95" customHeight="1" x14ac:dyDescent="0.2">
      <c r="A226" s="127">
        <f>A225+1</f>
        <v>191</v>
      </c>
      <c r="B226" s="112">
        <f>+B225+1</f>
        <v>5</v>
      </c>
      <c r="C226" s="116" t="s">
        <v>395</v>
      </c>
      <c r="D226" s="227" t="s">
        <v>396</v>
      </c>
      <c r="E226" s="116" t="s">
        <v>90</v>
      </c>
      <c r="F226" s="118">
        <v>445008</v>
      </c>
      <c r="G226" s="160"/>
      <c r="H226" s="120">
        <v>198210</v>
      </c>
      <c r="I226" s="179" t="s">
        <v>40</v>
      </c>
      <c r="J226" s="74">
        <f t="shared" si="36"/>
        <v>445008</v>
      </c>
      <c r="K226" s="17">
        <f t="shared" si="37"/>
        <v>198210</v>
      </c>
      <c r="L226" s="11"/>
      <c r="M226" s="11"/>
      <c r="N226" s="11"/>
      <c r="O226" s="11"/>
      <c r="P226" s="11"/>
      <c r="Q226" s="11"/>
      <c r="R226" s="11"/>
      <c r="S226" s="8"/>
      <c r="T226" s="8"/>
      <c r="U226" s="8"/>
      <c r="V226" s="8"/>
      <c r="W226" s="8"/>
      <c r="X226" s="8"/>
      <c r="Y226" s="8"/>
      <c r="Z226" s="8"/>
      <c r="AA226" s="8"/>
      <c r="AB226" s="8"/>
      <c r="AC226" s="8"/>
      <c r="AD226" s="8"/>
      <c r="AE226" s="8"/>
      <c r="AF226" s="8"/>
      <c r="AG226" s="8"/>
      <c r="AH226" s="8"/>
      <c r="AI226" s="8"/>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c r="CS226" s="9"/>
      <c r="CT226" s="9"/>
      <c r="CU226" s="9"/>
      <c r="CV226" s="9"/>
      <c r="CW226" s="9"/>
      <c r="CX226" s="9"/>
      <c r="CY226" s="9"/>
      <c r="CZ226" s="9"/>
      <c r="DA226" s="9"/>
      <c r="DB226" s="9"/>
      <c r="DC226" s="9"/>
      <c r="DD226" s="9"/>
      <c r="DE226" s="9"/>
      <c r="DF226" s="9"/>
      <c r="DG226" s="9"/>
    </row>
    <row r="227" spans="1:112" ht="15.95" customHeight="1" x14ac:dyDescent="0.2">
      <c r="A227" s="127">
        <f>A226+1</f>
        <v>192</v>
      </c>
      <c r="B227" s="112">
        <f>+B226+1</f>
        <v>6</v>
      </c>
      <c r="C227" s="116" t="s">
        <v>397</v>
      </c>
      <c r="D227" s="227" t="s">
        <v>398</v>
      </c>
      <c r="E227" s="116" t="s">
        <v>68</v>
      </c>
      <c r="F227" s="118">
        <v>262550</v>
      </c>
      <c r="G227" s="160"/>
      <c r="H227" s="120"/>
      <c r="I227" s="179"/>
      <c r="J227" s="74">
        <f t="shared" si="36"/>
        <v>262550</v>
      </c>
      <c r="K227" s="17">
        <f t="shared" si="37"/>
        <v>0</v>
      </c>
    </row>
    <row r="228" spans="1:112" s="41" customFormat="1" ht="15.95" customHeight="1" x14ac:dyDescent="0.2">
      <c r="A228" s="129">
        <f>A227+1</f>
        <v>193</v>
      </c>
      <c r="B228" s="130">
        <f>+B227+1</f>
        <v>7</v>
      </c>
      <c r="C228" s="131" t="s">
        <v>399</v>
      </c>
      <c r="D228" s="229" t="s">
        <v>368</v>
      </c>
      <c r="E228" s="131" t="s">
        <v>84</v>
      </c>
      <c r="F228" s="132">
        <v>1191668.9099999999</v>
      </c>
      <c r="G228" s="162"/>
      <c r="H228" s="133"/>
      <c r="I228" s="184"/>
      <c r="J228" s="74">
        <f t="shared" si="36"/>
        <v>1191668.9099999999</v>
      </c>
      <c r="K228" s="17">
        <f t="shared" si="37"/>
        <v>0</v>
      </c>
      <c r="L228" s="11"/>
      <c r="M228" s="11"/>
      <c r="N228" s="11"/>
      <c r="O228" s="11"/>
      <c r="P228" s="11"/>
      <c r="Q228" s="11"/>
      <c r="R228" s="11"/>
      <c r="S228" s="8"/>
      <c r="T228" s="8"/>
      <c r="U228" s="8"/>
      <c r="V228" s="8"/>
      <c r="W228" s="8"/>
      <c r="X228" s="8"/>
      <c r="Y228" s="8"/>
      <c r="Z228" s="8"/>
      <c r="AA228" s="8"/>
      <c r="AB228" s="8"/>
      <c r="AC228" s="8"/>
      <c r="AD228" s="8"/>
      <c r="AE228" s="8"/>
      <c r="AF228" s="8"/>
      <c r="AG228" s="8"/>
      <c r="AH228" s="8"/>
      <c r="AI228" s="8"/>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c r="DB228" s="9"/>
      <c r="DC228" s="9"/>
      <c r="DD228" s="9"/>
      <c r="DE228" s="9"/>
      <c r="DF228" s="9"/>
      <c r="DG228" s="9"/>
    </row>
    <row r="229" spans="1:112" s="29" customFormat="1" ht="15.95" customHeight="1" x14ac:dyDescent="0.2">
      <c r="A229" s="16" t="s">
        <v>400</v>
      </c>
      <c r="B229" s="3"/>
      <c r="C229" s="2"/>
      <c r="D229" s="225"/>
      <c r="E229" s="2"/>
      <c r="F229" s="134">
        <f>SUM(F222:F228)</f>
        <v>95047668.687937379</v>
      </c>
      <c r="G229" s="164"/>
      <c r="H229" s="134">
        <f>SUM(H222:H228)</f>
        <v>1610927544</v>
      </c>
      <c r="I229" s="183"/>
      <c r="J229" s="74"/>
      <c r="K229" s="17"/>
      <c r="L229" s="11"/>
      <c r="M229" s="11"/>
      <c r="N229" s="11"/>
      <c r="O229" s="11"/>
      <c r="P229" s="11"/>
      <c r="Q229" s="11"/>
      <c r="R229" s="11"/>
      <c r="S229" s="8"/>
      <c r="T229" s="8"/>
      <c r="U229" s="8"/>
      <c r="V229" s="8"/>
      <c r="W229" s="8"/>
      <c r="X229" s="8"/>
      <c r="Y229" s="8"/>
      <c r="Z229" s="8"/>
      <c r="AA229" s="8"/>
      <c r="AB229" s="8"/>
      <c r="AC229" s="8"/>
      <c r="AD229" s="8"/>
      <c r="AE229" s="8"/>
      <c r="AF229" s="8"/>
      <c r="AG229" s="8"/>
      <c r="AH229" s="8"/>
      <c r="AI229" s="8"/>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c r="DB229" s="9"/>
      <c r="DC229" s="9"/>
      <c r="DD229" s="9"/>
      <c r="DE229" s="9"/>
      <c r="DF229" s="9"/>
      <c r="DG229" s="9"/>
    </row>
    <row r="230" spans="1:112" ht="15.95" customHeight="1" x14ac:dyDescent="0.2">
      <c r="A230" s="257">
        <v>2001</v>
      </c>
      <c r="B230" s="258"/>
      <c r="C230" s="258"/>
      <c r="D230" s="258"/>
      <c r="E230" s="258"/>
      <c r="F230" s="258"/>
      <c r="G230" s="258"/>
      <c r="H230" s="258"/>
      <c r="I230" s="259"/>
      <c r="J230" s="74">
        <f t="shared" ref="J230:J243" si="38">+F230</f>
        <v>0</v>
      </c>
      <c r="K230" s="17">
        <f t="shared" ref="K230:K243" si="39">+H230</f>
        <v>0</v>
      </c>
    </row>
    <row r="231" spans="1:112" s="42" customFormat="1" ht="15.95" customHeight="1" x14ac:dyDescent="0.2">
      <c r="A231" s="127">
        <f>+A228+1</f>
        <v>194</v>
      </c>
      <c r="B231" s="112">
        <f t="shared" ref="B231:B243" si="40">+B230+1</f>
        <v>1</v>
      </c>
      <c r="C231" s="116" t="s">
        <v>401</v>
      </c>
      <c r="D231" s="227" t="s">
        <v>402</v>
      </c>
      <c r="E231" s="116" t="s">
        <v>14</v>
      </c>
      <c r="F231" s="118">
        <f>50000+100000+400000</f>
        <v>550000</v>
      </c>
      <c r="G231" s="160"/>
      <c r="H231" s="120">
        <v>2100000</v>
      </c>
      <c r="I231" s="179" t="s">
        <v>40</v>
      </c>
      <c r="J231" s="74">
        <f t="shared" si="38"/>
        <v>550000</v>
      </c>
      <c r="K231" s="17">
        <f t="shared" si="39"/>
        <v>2100000</v>
      </c>
      <c r="L231" s="11"/>
      <c r="M231" s="11"/>
      <c r="N231" s="11"/>
      <c r="O231" s="11"/>
      <c r="P231" s="11"/>
      <c r="Q231" s="11"/>
      <c r="R231" s="11"/>
      <c r="S231" s="8"/>
      <c r="T231" s="8"/>
      <c r="U231" s="8"/>
      <c r="V231" s="8"/>
      <c r="W231" s="8"/>
      <c r="X231" s="8"/>
      <c r="Y231" s="8"/>
      <c r="Z231" s="8"/>
      <c r="AA231" s="8"/>
      <c r="AB231" s="8"/>
      <c r="AC231" s="8"/>
      <c r="AD231" s="8"/>
      <c r="AE231" s="8"/>
      <c r="AF231" s="8"/>
      <c r="AG231" s="8"/>
      <c r="AH231" s="8"/>
      <c r="AI231" s="8"/>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c r="DB231" s="9"/>
      <c r="DC231" s="9"/>
      <c r="DD231" s="9"/>
      <c r="DE231" s="9"/>
      <c r="DF231" s="9"/>
      <c r="DG231" s="9"/>
      <c r="DH231" s="22"/>
    </row>
    <row r="232" spans="1:112" s="12" customFormat="1" ht="15.95" customHeight="1" x14ac:dyDescent="0.2">
      <c r="A232" s="127">
        <f t="shared" ref="A232:A243" si="41">+A231+1</f>
        <v>195</v>
      </c>
      <c r="B232" s="112">
        <f t="shared" si="40"/>
        <v>2</v>
      </c>
      <c r="C232" s="116" t="s">
        <v>403</v>
      </c>
      <c r="D232" s="227" t="s">
        <v>404</v>
      </c>
      <c r="E232" s="116" t="s">
        <v>90</v>
      </c>
      <c r="F232" s="118">
        <f>172572-30000</f>
        <v>142572</v>
      </c>
      <c r="G232" s="160"/>
      <c r="H232" s="120">
        <f>1330439-350000</f>
        <v>980439</v>
      </c>
      <c r="I232" s="179" t="s">
        <v>40</v>
      </c>
      <c r="J232" s="74">
        <f t="shared" si="38"/>
        <v>142572</v>
      </c>
      <c r="K232" s="17">
        <f t="shared" si="39"/>
        <v>980439</v>
      </c>
      <c r="L232" s="33"/>
      <c r="M232" s="33"/>
      <c r="N232" s="33"/>
      <c r="O232" s="33"/>
      <c r="P232" s="33"/>
      <c r="Q232" s="33"/>
      <c r="R232" s="33"/>
      <c r="S232" s="34"/>
      <c r="T232" s="34"/>
      <c r="U232" s="34"/>
      <c r="V232" s="34"/>
      <c r="W232" s="34"/>
      <c r="X232" s="34"/>
      <c r="Y232" s="34"/>
      <c r="Z232" s="34"/>
      <c r="AA232" s="34"/>
      <c r="AB232" s="34"/>
      <c r="AC232" s="34"/>
      <c r="AD232" s="34"/>
      <c r="AE232" s="34"/>
      <c r="AF232" s="34"/>
      <c r="AG232" s="34"/>
      <c r="AH232" s="34"/>
      <c r="AI232" s="34"/>
    </row>
    <row r="233" spans="1:112" s="12" customFormat="1" ht="15.95" customHeight="1" x14ac:dyDescent="0.2">
      <c r="A233" s="127">
        <f t="shared" si="41"/>
        <v>196</v>
      </c>
      <c r="B233" s="112">
        <f t="shared" si="40"/>
        <v>3</v>
      </c>
      <c r="C233" s="116" t="s">
        <v>405</v>
      </c>
      <c r="D233" s="227" t="s">
        <v>406</v>
      </c>
      <c r="E233" s="116" t="s">
        <v>14</v>
      </c>
      <c r="F233" s="118">
        <f>45000+75000+5000+10000+10000+28000+5000+21000+28000</f>
        <v>227000</v>
      </c>
      <c r="G233" s="160"/>
      <c r="H233" s="120"/>
      <c r="I233" s="179"/>
      <c r="J233" s="74">
        <f t="shared" si="38"/>
        <v>227000</v>
      </c>
      <c r="K233" s="17">
        <f t="shared" si="39"/>
        <v>0</v>
      </c>
      <c r="L233" s="33"/>
      <c r="M233" s="33"/>
      <c r="N233" s="33"/>
      <c r="O233" s="33"/>
      <c r="P233" s="33"/>
      <c r="Q233" s="33"/>
      <c r="R233" s="33"/>
      <c r="S233" s="34"/>
      <c r="T233" s="34"/>
      <c r="U233" s="34"/>
      <c r="V233" s="34"/>
      <c r="W233" s="34"/>
      <c r="X233" s="34"/>
      <c r="Y233" s="34"/>
      <c r="Z233" s="34"/>
      <c r="AA233" s="34"/>
      <c r="AB233" s="34"/>
      <c r="AC233" s="34"/>
      <c r="AD233" s="34"/>
      <c r="AE233" s="34"/>
      <c r="AF233" s="34"/>
      <c r="AG233" s="34"/>
      <c r="AH233" s="34"/>
      <c r="AI233" s="34"/>
    </row>
    <row r="234" spans="1:112" s="12" customFormat="1" ht="15.95" customHeight="1" x14ac:dyDescent="0.2">
      <c r="A234" s="127">
        <f t="shared" si="41"/>
        <v>197</v>
      </c>
      <c r="B234" s="112">
        <f t="shared" si="40"/>
        <v>4</v>
      </c>
      <c r="C234" s="116" t="s">
        <v>407</v>
      </c>
      <c r="D234" s="227" t="s">
        <v>408</v>
      </c>
      <c r="E234" s="116" t="s">
        <v>14</v>
      </c>
      <c r="F234" s="118">
        <f>65260861.4/3.5</f>
        <v>18645960.399999999</v>
      </c>
      <c r="G234" s="160"/>
      <c r="H234" s="120"/>
      <c r="I234" s="179"/>
      <c r="J234" s="74">
        <f t="shared" si="38"/>
        <v>18645960.399999999</v>
      </c>
      <c r="K234" s="17">
        <f t="shared" si="39"/>
        <v>0</v>
      </c>
      <c r="L234" s="33"/>
      <c r="M234" s="33"/>
      <c r="N234" s="33"/>
      <c r="O234" s="33"/>
      <c r="P234" s="33"/>
      <c r="Q234" s="33"/>
      <c r="R234" s="33"/>
      <c r="S234" s="34"/>
      <c r="T234" s="34"/>
      <c r="U234" s="34"/>
      <c r="V234" s="34"/>
      <c r="W234" s="34"/>
      <c r="X234" s="34"/>
      <c r="Y234" s="34"/>
      <c r="Z234" s="34"/>
      <c r="AA234" s="34"/>
      <c r="AB234" s="34"/>
      <c r="AC234" s="34"/>
      <c r="AD234" s="34"/>
      <c r="AE234" s="34"/>
      <c r="AF234" s="34"/>
      <c r="AG234" s="34"/>
      <c r="AH234" s="34"/>
      <c r="AI234" s="34"/>
    </row>
    <row r="235" spans="1:112" s="35" customFormat="1" ht="15.95" customHeight="1" x14ac:dyDescent="0.2">
      <c r="A235" s="127">
        <f t="shared" si="41"/>
        <v>198</v>
      </c>
      <c r="B235" s="112">
        <f t="shared" si="40"/>
        <v>5</v>
      </c>
      <c r="C235" s="116" t="s">
        <v>409</v>
      </c>
      <c r="D235" s="227" t="s">
        <v>410</v>
      </c>
      <c r="E235" s="116" t="s">
        <v>104</v>
      </c>
      <c r="F235" s="118">
        <v>377552.67</v>
      </c>
      <c r="G235" s="160"/>
      <c r="H235" s="120"/>
      <c r="I235" s="179"/>
      <c r="J235" s="74">
        <f t="shared" si="38"/>
        <v>377552.67</v>
      </c>
      <c r="K235" s="17">
        <f t="shared" si="39"/>
        <v>0</v>
      </c>
      <c r="L235" s="43"/>
      <c r="M235" s="44"/>
      <c r="N235" s="45"/>
      <c r="O235" s="33"/>
      <c r="P235" s="33"/>
      <c r="Q235" s="33"/>
      <c r="R235" s="33"/>
      <c r="S235" s="34"/>
      <c r="T235" s="34"/>
      <c r="U235" s="34"/>
      <c r="V235" s="34"/>
      <c r="W235" s="34"/>
      <c r="X235" s="34"/>
      <c r="Y235" s="34"/>
      <c r="Z235" s="34"/>
      <c r="AA235" s="34"/>
      <c r="AB235" s="34"/>
      <c r="AC235" s="34"/>
      <c r="AD235" s="34"/>
      <c r="AE235" s="34"/>
      <c r="AF235" s="34"/>
      <c r="AG235" s="34"/>
      <c r="AH235" s="34"/>
      <c r="AI235" s="34"/>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row>
    <row r="236" spans="1:112" s="35" customFormat="1" ht="15.95" customHeight="1" x14ac:dyDescent="0.2">
      <c r="A236" s="127">
        <f t="shared" si="41"/>
        <v>199</v>
      </c>
      <c r="B236" s="112">
        <f t="shared" si="40"/>
        <v>6</v>
      </c>
      <c r="C236" s="116" t="s">
        <v>411</v>
      </c>
      <c r="D236" s="227" t="s">
        <v>412</v>
      </c>
      <c r="E236" s="116" t="s">
        <v>90</v>
      </c>
      <c r="F236" s="118">
        <v>5018</v>
      </c>
      <c r="G236" s="160"/>
      <c r="H236" s="120">
        <v>86800</v>
      </c>
      <c r="I236" s="179" t="s">
        <v>40</v>
      </c>
      <c r="J236" s="74">
        <f t="shared" si="38"/>
        <v>5018</v>
      </c>
      <c r="K236" s="17">
        <f t="shared" si="39"/>
        <v>86800</v>
      </c>
      <c r="L236" s="33"/>
      <c r="M236" s="33"/>
      <c r="N236" s="33"/>
      <c r="O236" s="33"/>
      <c r="P236" s="33"/>
      <c r="Q236" s="33"/>
      <c r="R236" s="33"/>
      <c r="S236" s="34"/>
      <c r="T236" s="34"/>
      <c r="U236" s="34"/>
      <c r="V236" s="34"/>
      <c r="W236" s="34"/>
      <c r="X236" s="34"/>
      <c r="Y236" s="34"/>
      <c r="Z236" s="34"/>
      <c r="AA236" s="34"/>
      <c r="AB236" s="34"/>
      <c r="AC236" s="34"/>
      <c r="AD236" s="34"/>
      <c r="AE236" s="34"/>
      <c r="AF236" s="34"/>
      <c r="AG236" s="34"/>
      <c r="AH236" s="34"/>
      <c r="AI236" s="34"/>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row>
    <row r="237" spans="1:112" s="35" customFormat="1" ht="15.95" customHeight="1" x14ac:dyDescent="0.2">
      <c r="A237" s="127">
        <f t="shared" si="41"/>
        <v>200</v>
      </c>
      <c r="B237" s="112">
        <f t="shared" si="40"/>
        <v>7</v>
      </c>
      <c r="C237" s="116" t="s">
        <v>413</v>
      </c>
      <c r="D237" s="227" t="s">
        <v>414</v>
      </c>
      <c r="E237" s="116" t="s">
        <v>104</v>
      </c>
      <c r="F237" s="118">
        <v>227101000</v>
      </c>
      <c r="G237" s="160"/>
      <c r="H237" s="120">
        <v>17500000</v>
      </c>
      <c r="I237" s="179" t="s">
        <v>40</v>
      </c>
      <c r="J237" s="74">
        <f t="shared" si="38"/>
        <v>227101000</v>
      </c>
      <c r="K237" s="17">
        <f t="shared" si="39"/>
        <v>17500000</v>
      </c>
      <c r="L237" s="33"/>
      <c r="M237" s="33"/>
      <c r="N237" s="33"/>
      <c r="O237" s="33"/>
      <c r="P237" s="33"/>
      <c r="Q237" s="33"/>
      <c r="R237" s="33"/>
      <c r="S237" s="34"/>
      <c r="T237" s="34"/>
      <c r="U237" s="34"/>
      <c r="V237" s="34"/>
      <c r="W237" s="34"/>
      <c r="X237" s="34"/>
      <c r="Y237" s="34"/>
      <c r="Z237" s="34"/>
      <c r="AA237" s="34"/>
      <c r="AB237" s="34"/>
      <c r="AC237" s="34"/>
      <c r="AD237" s="34"/>
      <c r="AE237" s="34"/>
      <c r="AF237" s="34"/>
      <c r="AG237" s="34"/>
      <c r="AH237" s="34"/>
      <c r="AI237" s="34"/>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row>
    <row r="238" spans="1:112" s="35" customFormat="1" ht="15.95" customHeight="1" x14ac:dyDescent="0.2">
      <c r="A238" s="127">
        <f t="shared" si="41"/>
        <v>201</v>
      </c>
      <c r="B238" s="112">
        <f t="shared" si="40"/>
        <v>8</v>
      </c>
      <c r="C238" s="116" t="s">
        <v>415</v>
      </c>
      <c r="D238" s="227" t="s">
        <v>416</v>
      </c>
      <c r="E238" s="116" t="s">
        <v>14</v>
      </c>
      <c r="F238" s="118">
        <v>1000000</v>
      </c>
      <c r="G238" s="160"/>
      <c r="H238" s="120"/>
      <c r="I238" s="179"/>
      <c r="J238" s="74">
        <f t="shared" si="38"/>
        <v>1000000</v>
      </c>
      <c r="K238" s="17">
        <f t="shared" si="39"/>
        <v>0</v>
      </c>
      <c r="L238" s="33"/>
      <c r="M238" s="33"/>
      <c r="N238" s="33"/>
      <c r="O238" s="33"/>
      <c r="P238" s="33"/>
      <c r="Q238" s="33"/>
      <c r="R238" s="33"/>
      <c r="S238" s="34"/>
      <c r="T238" s="34"/>
      <c r="U238" s="34"/>
      <c r="V238" s="34"/>
      <c r="W238" s="34"/>
      <c r="X238" s="34"/>
      <c r="Y238" s="34"/>
      <c r="Z238" s="34"/>
      <c r="AA238" s="34"/>
      <c r="AB238" s="34"/>
      <c r="AC238" s="34"/>
      <c r="AD238" s="34"/>
      <c r="AE238" s="34"/>
      <c r="AF238" s="34"/>
      <c r="AG238" s="34"/>
      <c r="AH238" s="34"/>
      <c r="AI238" s="34"/>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row>
    <row r="239" spans="1:112" s="12" customFormat="1" ht="15.95" customHeight="1" x14ac:dyDescent="0.2">
      <c r="A239" s="127">
        <f t="shared" si="41"/>
        <v>202</v>
      </c>
      <c r="B239" s="112">
        <f t="shared" si="40"/>
        <v>9</v>
      </c>
      <c r="C239" s="116" t="s">
        <v>417</v>
      </c>
      <c r="D239" s="227" t="s">
        <v>418</v>
      </c>
      <c r="E239" s="116" t="s">
        <v>90</v>
      </c>
      <c r="F239" s="118">
        <v>257000</v>
      </c>
      <c r="G239" s="160"/>
      <c r="H239" s="120">
        <v>3000000</v>
      </c>
      <c r="I239" s="179" t="s">
        <v>40</v>
      </c>
      <c r="J239" s="74">
        <f t="shared" si="38"/>
        <v>257000</v>
      </c>
      <c r="K239" s="17">
        <f t="shared" si="39"/>
        <v>3000000</v>
      </c>
      <c r="L239" s="11"/>
      <c r="M239" s="11"/>
      <c r="N239" s="11"/>
      <c r="O239" s="33"/>
      <c r="P239" s="33"/>
      <c r="Q239" s="33"/>
      <c r="R239" s="33"/>
      <c r="S239" s="34"/>
      <c r="T239" s="34"/>
      <c r="U239" s="34"/>
      <c r="V239" s="34"/>
      <c r="W239" s="34"/>
      <c r="X239" s="34"/>
      <c r="Y239" s="34"/>
      <c r="Z239" s="34"/>
      <c r="AA239" s="34"/>
      <c r="AB239" s="34"/>
      <c r="AC239" s="34"/>
      <c r="AD239" s="34"/>
      <c r="AE239" s="34"/>
      <c r="AF239" s="34"/>
      <c r="AG239" s="34"/>
      <c r="AH239" s="34"/>
      <c r="AI239" s="34"/>
    </row>
    <row r="240" spans="1:112" s="35" customFormat="1" ht="15.95" customHeight="1" x14ac:dyDescent="0.2">
      <c r="A240" s="127">
        <f t="shared" si="41"/>
        <v>203</v>
      </c>
      <c r="B240" s="112">
        <f t="shared" si="40"/>
        <v>10</v>
      </c>
      <c r="C240" s="116" t="s">
        <v>419</v>
      </c>
      <c r="D240" s="227" t="s">
        <v>420</v>
      </c>
      <c r="E240" s="116" t="s">
        <v>90</v>
      </c>
      <c r="F240" s="118">
        <f>750000+36600</f>
        <v>786600</v>
      </c>
      <c r="G240" s="160"/>
      <c r="H240" s="120">
        <f>4000000+487960</f>
        <v>4487960</v>
      </c>
      <c r="I240" s="179" t="s">
        <v>40</v>
      </c>
      <c r="J240" s="74">
        <f t="shared" si="38"/>
        <v>786600</v>
      </c>
      <c r="K240" s="17">
        <f t="shared" si="39"/>
        <v>4487960</v>
      </c>
      <c r="L240" s="33"/>
      <c r="M240" s="33"/>
      <c r="N240" s="33"/>
      <c r="O240" s="33"/>
      <c r="P240" s="33"/>
      <c r="Q240" s="33"/>
      <c r="R240" s="33"/>
      <c r="S240" s="34"/>
      <c r="T240" s="34"/>
      <c r="U240" s="34"/>
      <c r="V240" s="34"/>
      <c r="W240" s="34"/>
      <c r="X240" s="34"/>
      <c r="Y240" s="34"/>
      <c r="Z240" s="34"/>
      <c r="AA240" s="34"/>
      <c r="AB240" s="34"/>
      <c r="AC240" s="34"/>
      <c r="AD240" s="34"/>
      <c r="AE240" s="34"/>
      <c r="AF240" s="34"/>
      <c r="AG240" s="34"/>
      <c r="AH240" s="34"/>
      <c r="AI240" s="34"/>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row>
    <row r="241" spans="1:112" s="12" customFormat="1" ht="15.95" customHeight="1" x14ac:dyDescent="0.2">
      <c r="A241" s="127">
        <f t="shared" si="41"/>
        <v>204</v>
      </c>
      <c r="B241" s="112">
        <f t="shared" si="40"/>
        <v>11</v>
      </c>
      <c r="C241" s="116" t="s">
        <v>421</v>
      </c>
      <c r="D241" s="227" t="s">
        <v>422</v>
      </c>
      <c r="E241" s="116" t="s">
        <v>97</v>
      </c>
      <c r="F241" s="118">
        <f>330201+750000</f>
        <v>1080201</v>
      </c>
      <c r="G241" s="160"/>
      <c r="H241" s="120"/>
      <c r="I241" s="179"/>
      <c r="J241" s="74">
        <f t="shared" si="38"/>
        <v>1080201</v>
      </c>
      <c r="K241" s="17">
        <f t="shared" si="39"/>
        <v>0</v>
      </c>
      <c r="L241" s="46"/>
      <c r="M241" s="46"/>
      <c r="N241" s="33"/>
      <c r="O241" s="33"/>
      <c r="P241" s="33"/>
      <c r="Q241" s="33"/>
      <c r="R241" s="33"/>
      <c r="S241" s="34"/>
      <c r="T241" s="34"/>
      <c r="U241" s="34"/>
      <c r="V241" s="34"/>
      <c r="W241" s="34"/>
      <c r="X241" s="34"/>
      <c r="Y241" s="34"/>
      <c r="Z241" s="34"/>
      <c r="AA241" s="34"/>
      <c r="AB241" s="34"/>
      <c r="AC241" s="34"/>
      <c r="AD241" s="34"/>
      <c r="AE241" s="34"/>
      <c r="AF241" s="34"/>
      <c r="AG241" s="34"/>
      <c r="AH241" s="34"/>
      <c r="AI241" s="34"/>
    </row>
    <row r="242" spans="1:112" s="12" customFormat="1" ht="15.95" customHeight="1" x14ac:dyDescent="0.2">
      <c r="A242" s="127">
        <f t="shared" si="41"/>
        <v>205</v>
      </c>
      <c r="B242" s="112">
        <f t="shared" si="40"/>
        <v>12</v>
      </c>
      <c r="C242" s="116" t="s">
        <v>423</v>
      </c>
      <c r="D242" s="227" t="s">
        <v>424</v>
      </c>
      <c r="E242" s="116" t="s">
        <v>14</v>
      </c>
      <c r="F242" s="118">
        <v>4010000</v>
      </c>
      <c r="G242" s="160"/>
      <c r="H242" s="120">
        <v>3000000</v>
      </c>
      <c r="I242" s="179" t="s">
        <v>40</v>
      </c>
      <c r="J242" s="74">
        <f t="shared" si="38"/>
        <v>4010000</v>
      </c>
      <c r="K242" s="17">
        <f t="shared" si="39"/>
        <v>3000000</v>
      </c>
      <c r="L242" s="11"/>
      <c r="M242" s="11"/>
      <c r="N242" s="11"/>
      <c r="O242" s="33"/>
      <c r="P242" s="33"/>
      <c r="Q242" s="33"/>
      <c r="R242" s="33"/>
      <c r="S242" s="34"/>
      <c r="T242" s="34"/>
      <c r="U242" s="34"/>
      <c r="V242" s="34"/>
      <c r="W242" s="34"/>
      <c r="X242" s="34"/>
      <c r="Y242" s="34"/>
      <c r="Z242" s="34"/>
      <c r="AA242" s="34"/>
      <c r="AB242" s="34"/>
      <c r="AC242" s="34"/>
      <c r="AD242" s="34"/>
      <c r="AE242" s="34"/>
      <c r="AF242" s="34"/>
      <c r="AG242" s="34"/>
      <c r="AH242" s="34"/>
      <c r="AI242" s="34"/>
    </row>
    <row r="243" spans="1:112" s="12" customFormat="1" ht="26.25" customHeight="1" x14ac:dyDescent="0.2">
      <c r="A243" s="129">
        <f t="shared" si="41"/>
        <v>206</v>
      </c>
      <c r="B243" s="130">
        <f t="shared" si="40"/>
        <v>13</v>
      </c>
      <c r="C243" s="131" t="s">
        <v>425</v>
      </c>
      <c r="D243" s="229" t="s">
        <v>426</v>
      </c>
      <c r="E243" s="131" t="s">
        <v>97</v>
      </c>
      <c r="F243" s="132">
        <v>109432</v>
      </c>
      <c r="G243" s="162"/>
      <c r="H243" s="133"/>
      <c r="I243" s="184"/>
      <c r="J243" s="74">
        <f t="shared" si="38"/>
        <v>109432</v>
      </c>
      <c r="K243" s="17">
        <f t="shared" si="39"/>
        <v>0</v>
      </c>
      <c r="L243" s="33"/>
      <c r="M243" s="33"/>
      <c r="N243" s="33"/>
      <c r="O243" s="33"/>
      <c r="P243" s="33"/>
      <c r="Q243" s="33"/>
      <c r="R243" s="33"/>
      <c r="S243" s="34"/>
      <c r="T243" s="34"/>
      <c r="U243" s="34"/>
      <c r="V243" s="34"/>
      <c r="W243" s="34"/>
      <c r="X243" s="34"/>
      <c r="Y243" s="34"/>
      <c r="Z243" s="34"/>
      <c r="AA243" s="34"/>
      <c r="AB243" s="34"/>
      <c r="AC243" s="34"/>
      <c r="AD243" s="34"/>
      <c r="AE243" s="34"/>
      <c r="AF243" s="34"/>
      <c r="AG243" s="34"/>
      <c r="AH243" s="34"/>
      <c r="AI243" s="34"/>
    </row>
    <row r="244" spans="1:112" s="12" customFormat="1" ht="15.95" customHeight="1" x14ac:dyDescent="0.2">
      <c r="A244" s="16" t="s">
        <v>427</v>
      </c>
      <c r="B244" s="3"/>
      <c r="C244" s="2"/>
      <c r="D244" s="225"/>
      <c r="E244" s="2"/>
      <c r="F244" s="134">
        <f>SUM(F231:F243)</f>
        <v>254292336.06999999</v>
      </c>
      <c r="G244" s="164"/>
      <c r="H244" s="134">
        <f>SUM(H231:H243)</f>
        <v>31155199</v>
      </c>
      <c r="I244" s="183"/>
      <c r="J244" s="74"/>
      <c r="K244" s="17"/>
      <c r="L244" s="33"/>
      <c r="M244" s="33"/>
      <c r="N244" s="33"/>
      <c r="O244" s="33"/>
      <c r="P244" s="33"/>
      <c r="Q244" s="33"/>
      <c r="R244" s="33"/>
      <c r="S244" s="34"/>
      <c r="T244" s="34"/>
      <c r="U244" s="34"/>
      <c r="V244" s="34"/>
      <c r="W244" s="34"/>
      <c r="X244" s="34"/>
      <c r="Y244" s="34"/>
      <c r="Z244" s="34"/>
      <c r="AA244" s="34"/>
      <c r="AB244" s="34"/>
      <c r="AC244" s="34"/>
      <c r="AD244" s="34"/>
      <c r="AE244" s="34"/>
      <c r="AF244" s="34"/>
      <c r="AG244" s="34"/>
      <c r="AH244" s="34"/>
      <c r="AI244" s="34"/>
    </row>
    <row r="245" spans="1:112" ht="15.95" customHeight="1" x14ac:dyDescent="0.2">
      <c r="A245" s="257">
        <v>2002</v>
      </c>
      <c r="B245" s="258"/>
      <c r="C245" s="258"/>
      <c r="D245" s="258"/>
      <c r="E245" s="258"/>
      <c r="F245" s="258"/>
      <c r="G245" s="258"/>
      <c r="H245" s="258"/>
      <c r="I245" s="259"/>
      <c r="J245" s="74">
        <f t="shared" ref="J245:J255" si="42">+F245</f>
        <v>0</v>
      </c>
      <c r="K245" s="17">
        <f t="shared" ref="K245:K255" si="43">+H245</f>
        <v>0</v>
      </c>
    </row>
    <row r="246" spans="1:112" s="12" customFormat="1" ht="15.95" customHeight="1" x14ac:dyDescent="0.2">
      <c r="A246" s="127">
        <f>+A243+1</f>
        <v>207</v>
      </c>
      <c r="B246" s="112">
        <v>1</v>
      </c>
      <c r="C246" s="116" t="s">
        <v>428</v>
      </c>
      <c r="D246" s="227" t="s">
        <v>429</v>
      </c>
      <c r="E246" s="116" t="s">
        <v>97</v>
      </c>
      <c r="F246" s="118">
        <v>318000</v>
      </c>
      <c r="G246" s="160"/>
      <c r="H246" s="120"/>
      <c r="I246" s="179"/>
      <c r="J246" s="74">
        <f t="shared" si="42"/>
        <v>318000</v>
      </c>
      <c r="K246" s="17">
        <f t="shared" si="43"/>
        <v>0</v>
      </c>
      <c r="L246" s="33"/>
      <c r="M246" s="33"/>
      <c r="N246" s="33"/>
      <c r="O246" s="33"/>
      <c r="P246" s="33"/>
      <c r="Q246" s="33"/>
      <c r="R246" s="33"/>
      <c r="S246" s="34"/>
      <c r="T246" s="34"/>
      <c r="U246" s="34"/>
      <c r="V246" s="34"/>
      <c r="W246" s="34"/>
      <c r="X246" s="34"/>
      <c r="Y246" s="34"/>
      <c r="Z246" s="34"/>
      <c r="AA246" s="34"/>
      <c r="AB246" s="34"/>
      <c r="AC246" s="34"/>
      <c r="AD246" s="34"/>
      <c r="AE246" s="34"/>
      <c r="AF246" s="34"/>
      <c r="AG246" s="34"/>
      <c r="AH246" s="34"/>
      <c r="AI246" s="34"/>
    </row>
    <row r="247" spans="1:112" s="42" customFormat="1" ht="15.95" customHeight="1" x14ac:dyDescent="0.2">
      <c r="A247" s="127">
        <f t="shared" ref="A247:A255" si="44">+A246+1</f>
        <v>208</v>
      </c>
      <c r="B247" s="112">
        <f t="shared" ref="B247:B255" si="45">+B246+1</f>
        <v>2</v>
      </c>
      <c r="C247" s="116" t="s">
        <v>430</v>
      </c>
      <c r="D247" s="227" t="s">
        <v>431</v>
      </c>
      <c r="E247" s="116" t="s">
        <v>97</v>
      </c>
      <c r="F247" s="118">
        <v>193210.09</v>
      </c>
      <c r="G247" s="160"/>
      <c r="H247" s="120"/>
      <c r="I247" s="179"/>
      <c r="J247" s="74">
        <f t="shared" si="42"/>
        <v>193210.09</v>
      </c>
      <c r="K247" s="17">
        <f t="shared" si="43"/>
        <v>0</v>
      </c>
      <c r="L247" s="11"/>
      <c r="M247" s="11"/>
      <c r="N247" s="11"/>
      <c r="O247" s="11"/>
      <c r="P247" s="11"/>
      <c r="Q247" s="11"/>
      <c r="R247" s="11"/>
      <c r="S247" s="8"/>
      <c r="T247" s="8"/>
      <c r="U247" s="8"/>
      <c r="V247" s="8"/>
      <c r="W247" s="8"/>
      <c r="X247" s="8"/>
      <c r="Y247" s="8"/>
      <c r="Z247" s="8"/>
      <c r="AA247" s="8"/>
      <c r="AB247" s="8"/>
      <c r="AC247" s="8"/>
      <c r="AD247" s="8"/>
      <c r="AE247" s="8"/>
      <c r="AF247" s="8"/>
      <c r="AG247" s="8"/>
      <c r="AH247" s="8"/>
      <c r="AI247" s="8"/>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c r="CV247" s="9"/>
      <c r="CW247" s="9"/>
      <c r="CX247" s="9"/>
      <c r="CY247" s="9"/>
      <c r="CZ247" s="9"/>
      <c r="DA247" s="9"/>
      <c r="DB247" s="9"/>
      <c r="DC247" s="9"/>
      <c r="DD247" s="9"/>
      <c r="DE247" s="9"/>
      <c r="DF247" s="9"/>
      <c r="DG247" s="9"/>
      <c r="DH247" s="22"/>
    </row>
    <row r="248" spans="1:112" ht="15.95" customHeight="1" x14ac:dyDescent="0.2">
      <c r="A248" s="127">
        <f t="shared" si="44"/>
        <v>209</v>
      </c>
      <c r="B248" s="112">
        <f t="shared" si="45"/>
        <v>3</v>
      </c>
      <c r="C248" s="116" t="s">
        <v>432</v>
      </c>
      <c r="D248" s="227" t="s">
        <v>433</v>
      </c>
      <c r="E248" s="116" t="s">
        <v>434</v>
      </c>
      <c r="F248" s="118">
        <f>1439037/3.45</f>
        <v>417112.17391304346</v>
      </c>
      <c r="G248" s="160"/>
      <c r="H248" s="120"/>
      <c r="I248" s="179"/>
      <c r="J248" s="74">
        <f t="shared" si="42"/>
        <v>417112.17391304346</v>
      </c>
      <c r="K248" s="17">
        <f t="shared" si="43"/>
        <v>0</v>
      </c>
    </row>
    <row r="249" spans="1:112" ht="15.95" customHeight="1" x14ac:dyDescent="0.2">
      <c r="A249" s="127">
        <f t="shared" si="44"/>
        <v>210</v>
      </c>
      <c r="B249" s="112">
        <f t="shared" si="45"/>
        <v>4</v>
      </c>
      <c r="C249" s="116" t="s">
        <v>435</v>
      </c>
      <c r="D249" s="227" t="s">
        <v>436</v>
      </c>
      <c r="E249" s="116" t="s">
        <v>97</v>
      </c>
      <c r="F249" s="118">
        <v>170000</v>
      </c>
      <c r="G249" s="160"/>
      <c r="H249" s="120"/>
      <c r="I249" s="179"/>
      <c r="J249" s="74">
        <f t="shared" si="42"/>
        <v>170000</v>
      </c>
      <c r="K249" s="17">
        <f t="shared" si="43"/>
        <v>0</v>
      </c>
    </row>
    <row r="250" spans="1:112" ht="15.95" customHeight="1" x14ac:dyDescent="0.2">
      <c r="A250" s="127">
        <f t="shared" si="44"/>
        <v>211</v>
      </c>
      <c r="B250" s="112">
        <f t="shared" si="45"/>
        <v>5</v>
      </c>
      <c r="C250" s="116" t="s">
        <v>437</v>
      </c>
      <c r="D250" s="227" t="s">
        <v>438</v>
      </c>
      <c r="E250" s="116" t="s">
        <v>104</v>
      </c>
      <c r="F250" s="118">
        <f>83600000/3.46</f>
        <v>24161849.710982658</v>
      </c>
      <c r="G250" s="160"/>
      <c r="H250" s="120"/>
      <c r="I250" s="179"/>
      <c r="J250" s="74">
        <f t="shared" si="42"/>
        <v>24161849.710982658</v>
      </c>
      <c r="K250" s="17">
        <f t="shared" si="43"/>
        <v>0</v>
      </c>
    </row>
    <row r="251" spans="1:112" ht="15.95" customHeight="1" x14ac:dyDescent="0.2">
      <c r="A251" s="127">
        <f t="shared" si="44"/>
        <v>212</v>
      </c>
      <c r="B251" s="112">
        <f t="shared" si="45"/>
        <v>6</v>
      </c>
      <c r="C251" s="116" t="s">
        <v>439</v>
      </c>
      <c r="D251" s="227" t="s">
        <v>440</v>
      </c>
      <c r="E251" s="116" t="s">
        <v>14</v>
      </c>
      <c r="F251" s="118">
        <v>750000</v>
      </c>
      <c r="G251" s="160"/>
      <c r="H251" s="120"/>
      <c r="I251" s="179"/>
      <c r="J251" s="74">
        <f t="shared" si="42"/>
        <v>750000</v>
      </c>
      <c r="K251" s="17">
        <f t="shared" si="43"/>
        <v>0</v>
      </c>
    </row>
    <row r="252" spans="1:112" ht="15.95" customHeight="1" x14ac:dyDescent="0.2">
      <c r="A252" s="127">
        <f t="shared" si="44"/>
        <v>213</v>
      </c>
      <c r="B252" s="112">
        <f t="shared" si="45"/>
        <v>7</v>
      </c>
      <c r="C252" s="116" t="s">
        <v>441</v>
      </c>
      <c r="D252" s="227" t="s">
        <v>442</v>
      </c>
      <c r="E252" s="116" t="s">
        <v>97</v>
      </c>
      <c r="F252" s="118">
        <f>200000+207000</f>
        <v>407000</v>
      </c>
      <c r="G252" s="160"/>
      <c r="H252" s="120"/>
      <c r="I252" s="179"/>
      <c r="J252" s="74">
        <f t="shared" si="42"/>
        <v>407000</v>
      </c>
      <c r="K252" s="17">
        <f t="shared" si="43"/>
        <v>0</v>
      </c>
    </row>
    <row r="253" spans="1:112" s="47" customFormat="1" ht="15.95" customHeight="1" x14ac:dyDescent="0.2">
      <c r="A253" s="127">
        <f t="shared" si="44"/>
        <v>214</v>
      </c>
      <c r="B253" s="112">
        <f t="shared" si="45"/>
        <v>8</v>
      </c>
      <c r="C253" s="116" t="s">
        <v>443</v>
      </c>
      <c r="D253" s="227" t="s">
        <v>444</v>
      </c>
      <c r="E253" s="116" t="s">
        <v>104</v>
      </c>
      <c r="F253" s="118">
        <v>69713868</v>
      </c>
      <c r="G253" s="160"/>
      <c r="H253" s="120"/>
      <c r="I253" s="179"/>
      <c r="J253" s="74">
        <f t="shared" si="42"/>
        <v>69713868</v>
      </c>
      <c r="K253" s="17">
        <f t="shared" si="43"/>
        <v>0</v>
      </c>
      <c r="L253" s="11"/>
      <c r="M253" s="11"/>
      <c r="N253" s="11"/>
      <c r="O253" s="11"/>
      <c r="P253" s="11"/>
      <c r="Q253" s="11"/>
      <c r="R253" s="11"/>
      <c r="S253" s="8"/>
      <c r="T253" s="8"/>
      <c r="U253" s="8"/>
      <c r="V253" s="8"/>
      <c r="W253" s="8"/>
      <c r="X253" s="8"/>
      <c r="Y253" s="8"/>
      <c r="Z253" s="8"/>
      <c r="AA253" s="8"/>
      <c r="AB253" s="8"/>
      <c r="AC253" s="8"/>
      <c r="AD253" s="8"/>
      <c r="AE253" s="8"/>
      <c r="AF253" s="8"/>
      <c r="AG253" s="8"/>
      <c r="AH253" s="8"/>
      <c r="AI253" s="8"/>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c r="CY253" s="9"/>
      <c r="CZ253" s="9"/>
      <c r="DA253" s="9"/>
      <c r="DB253" s="9"/>
      <c r="DC253" s="9"/>
      <c r="DD253" s="9"/>
      <c r="DE253" s="9"/>
      <c r="DF253" s="9"/>
      <c r="DG253" s="9"/>
    </row>
    <row r="254" spans="1:112" ht="15.95" customHeight="1" x14ac:dyDescent="0.2">
      <c r="A254" s="127">
        <f t="shared" si="44"/>
        <v>215</v>
      </c>
      <c r="B254" s="112">
        <f t="shared" si="45"/>
        <v>9</v>
      </c>
      <c r="C254" s="116" t="s">
        <v>445</v>
      </c>
      <c r="D254" s="227" t="s">
        <v>446</v>
      </c>
      <c r="E254" s="116" t="s">
        <v>97</v>
      </c>
      <c r="F254" s="118">
        <f>72000+135000+23000+18000</f>
        <v>248000</v>
      </c>
      <c r="G254" s="160"/>
      <c r="H254" s="120"/>
      <c r="I254" s="179"/>
      <c r="J254" s="74">
        <f t="shared" si="42"/>
        <v>248000</v>
      </c>
      <c r="K254" s="17">
        <f t="shared" si="43"/>
        <v>0</v>
      </c>
    </row>
    <row r="255" spans="1:112" ht="15.95" customHeight="1" x14ac:dyDescent="0.2">
      <c r="A255" s="129">
        <f t="shared" si="44"/>
        <v>216</v>
      </c>
      <c r="B255" s="130">
        <f t="shared" si="45"/>
        <v>10</v>
      </c>
      <c r="C255" s="131" t="s">
        <v>447</v>
      </c>
      <c r="D255" s="229" t="s">
        <v>448</v>
      </c>
      <c r="E255" s="131" t="s">
        <v>14</v>
      </c>
      <c r="F255" s="132">
        <v>118474161.62</v>
      </c>
      <c r="G255" s="162" t="s">
        <v>449</v>
      </c>
      <c r="H255" s="133">
        <v>12113759</v>
      </c>
      <c r="I255" s="184" t="s">
        <v>450</v>
      </c>
      <c r="J255" s="74">
        <f t="shared" si="42"/>
        <v>118474161.62</v>
      </c>
      <c r="K255" s="17">
        <f t="shared" si="43"/>
        <v>12113759</v>
      </c>
    </row>
    <row r="256" spans="1:112" s="12" customFormat="1" ht="15.95" customHeight="1" x14ac:dyDescent="0.2">
      <c r="A256" s="16" t="s">
        <v>451</v>
      </c>
      <c r="B256" s="3"/>
      <c r="C256" s="2"/>
      <c r="D256" s="225"/>
      <c r="E256" s="2"/>
      <c r="F256" s="134">
        <f>SUM(F246:F255)</f>
        <v>214853201.59489572</v>
      </c>
      <c r="G256" s="164"/>
      <c r="H256" s="134">
        <f>SUM(H246:H255)</f>
        <v>12113759</v>
      </c>
      <c r="I256" s="183"/>
      <c r="J256" s="74"/>
      <c r="K256" s="17"/>
      <c r="L256" s="33"/>
      <c r="M256" s="33"/>
      <c r="N256" s="33"/>
      <c r="O256" s="33"/>
      <c r="P256" s="33"/>
      <c r="Q256" s="33"/>
      <c r="R256" s="33"/>
      <c r="S256" s="34"/>
      <c r="T256" s="34"/>
      <c r="U256" s="34"/>
      <c r="V256" s="34"/>
      <c r="W256" s="34"/>
      <c r="X256" s="34"/>
      <c r="Y256" s="34"/>
      <c r="Z256" s="34"/>
      <c r="AA256" s="34"/>
      <c r="AB256" s="34"/>
      <c r="AC256" s="34"/>
      <c r="AD256" s="34"/>
      <c r="AE256" s="34"/>
      <c r="AF256" s="34"/>
      <c r="AG256" s="34"/>
      <c r="AH256" s="34"/>
      <c r="AI256" s="34"/>
    </row>
    <row r="257" spans="1:111" ht="15.95" customHeight="1" x14ac:dyDescent="0.2">
      <c r="A257" s="257">
        <v>2003</v>
      </c>
      <c r="B257" s="258"/>
      <c r="C257" s="258"/>
      <c r="D257" s="258"/>
      <c r="E257" s="258"/>
      <c r="F257" s="258"/>
      <c r="G257" s="258"/>
      <c r="H257" s="258"/>
      <c r="I257" s="259"/>
      <c r="J257" s="74">
        <f t="shared" ref="J257:J265" si="46">+F257</f>
        <v>0</v>
      </c>
      <c r="K257" s="17">
        <f t="shared" ref="K257:K265" si="47">+H257</f>
        <v>0</v>
      </c>
    </row>
    <row r="258" spans="1:111" s="48" customFormat="1" ht="15.95" customHeight="1" x14ac:dyDescent="0.2">
      <c r="A258" s="127">
        <f>+A255+1</f>
        <v>217</v>
      </c>
      <c r="B258" s="112">
        <v>1</v>
      </c>
      <c r="C258" s="116" t="s">
        <v>452</v>
      </c>
      <c r="D258" s="227" t="s">
        <v>453</v>
      </c>
      <c r="E258" s="116" t="s">
        <v>97</v>
      </c>
      <c r="F258" s="118">
        <f>637370.12/3.484</f>
        <v>182942.05510907003</v>
      </c>
      <c r="G258" s="160"/>
      <c r="H258" s="120"/>
      <c r="I258" s="179"/>
      <c r="J258" s="74">
        <f t="shared" si="46"/>
        <v>182942.05510907003</v>
      </c>
      <c r="K258" s="17">
        <f t="shared" si="47"/>
        <v>0</v>
      </c>
      <c r="L258" s="33"/>
      <c r="M258" s="33"/>
      <c r="N258" s="33"/>
      <c r="O258" s="33"/>
      <c r="P258" s="33"/>
      <c r="Q258" s="33"/>
      <c r="R258" s="33"/>
      <c r="S258" s="34"/>
      <c r="T258" s="34"/>
      <c r="U258" s="34"/>
      <c r="V258" s="34"/>
      <c r="W258" s="34"/>
      <c r="X258" s="34"/>
      <c r="Y258" s="34"/>
      <c r="Z258" s="34"/>
      <c r="AA258" s="34"/>
      <c r="AB258" s="34"/>
      <c r="AC258" s="34"/>
      <c r="AD258" s="34"/>
      <c r="AE258" s="34"/>
      <c r="AF258" s="34"/>
      <c r="AG258" s="34"/>
      <c r="AH258" s="34"/>
      <c r="AI258" s="34"/>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row>
    <row r="259" spans="1:111" s="48" customFormat="1" ht="15.95" customHeight="1" x14ac:dyDescent="0.2">
      <c r="A259" s="127">
        <f t="shared" ref="A259:B265" si="48">+A258+1</f>
        <v>218</v>
      </c>
      <c r="B259" s="112">
        <f t="shared" si="48"/>
        <v>2</v>
      </c>
      <c r="C259" s="116" t="s">
        <v>454</v>
      </c>
      <c r="D259" s="227" t="s">
        <v>455</v>
      </c>
      <c r="E259" s="116" t="s">
        <v>14</v>
      </c>
      <c r="F259" s="118">
        <f>13000+26500+98500</f>
        <v>138000</v>
      </c>
      <c r="G259" s="160"/>
      <c r="H259" s="120"/>
      <c r="I259" s="179"/>
      <c r="J259" s="74">
        <f t="shared" si="46"/>
        <v>138000</v>
      </c>
      <c r="K259" s="17">
        <f t="shared" si="47"/>
        <v>0</v>
      </c>
      <c r="L259" s="33"/>
      <c r="M259" s="33"/>
      <c r="N259" s="33"/>
      <c r="O259" s="33"/>
      <c r="P259" s="33"/>
      <c r="Q259" s="33"/>
      <c r="R259" s="33"/>
      <c r="S259" s="34"/>
      <c r="T259" s="34"/>
      <c r="U259" s="34"/>
      <c r="V259" s="34"/>
      <c r="W259" s="34"/>
      <c r="X259" s="34"/>
      <c r="Y259" s="34"/>
      <c r="Z259" s="34"/>
      <c r="AA259" s="34"/>
      <c r="AB259" s="34"/>
      <c r="AC259" s="34"/>
      <c r="AD259" s="34"/>
      <c r="AE259" s="34"/>
      <c r="AF259" s="34"/>
      <c r="AG259" s="34"/>
      <c r="AH259" s="34"/>
      <c r="AI259" s="34"/>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row>
    <row r="260" spans="1:111" s="48" customFormat="1" ht="15.95" customHeight="1" x14ac:dyDescent="0.2">
      <c r="A260" s="127">
        <f t="shared" si="48"/>
        <v>219</v>
      </c>
      <c r="B260" s="112">
        <f t="shared" si="48"/>
        <v>3</v>
      </c>
      <c r="C260" s="116" t="s">
        <v>456</v>
      </c>
      <c r="D260" s="227" t="s">
        <v>457</v>
      </c>
      <c r="E260" s="116" t="s">
        <v>23</v>
      </c>
      <c r="F260" s="118"/>
      <c r="G260" s="160"/>
      <c r="H260" s="120">
        <v>150000000</v>
      </c>
      <c r="I260" s="179"/>
      <c r="J260" s="74">
        <f t="shared" si="46"/>
        <v>0</v>
      </c>
      <c r="K260" s="17">
        <f t="shared" si="47"/>
        <v>150000000</v>
      </c>
      <c r="L260" s="33"/>
      <c r="M260" s="33"/>
      <c r="N260" s="33"/>
      <c r="O260" s="33"/>
      <c r="P260" s="33"/>
      <c r="Q260" s="33"/>
      <c r="R260" s="33"/>
      <c r="S260" s="34"/>
      <c r="T260" s="34"/>
      <c r="U260" s="34"/>
      <c r="V260" s="34"/>
      <c r="W260" s="34"/>
      <c r="X260" s="34"/>
      <c r="Y260" s="34"/>
      <c r="Z260" s="34"/>
      <c r="AA260" s="34"/>
      <c r="AB260" s="34"/>
      <c r="AC260" s="34"/>
      <c r="AD260" s="34"/>
      <c r="AE260" s="34"/>
      <c r="AF260" s="34"/>
      <c r="AG260" s="34"/>
      <c r="AH260" s="34"/>
      <c r="AI260" s="34"/>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row>
    <row r="261" spans="1:111" s="48" customFormat="1" ht="15.95" customHeight="1" x14ac:dyDescent="0.2">
      <c r="A261" s="127">
        <f t="shared" si="48"/>
        <v>220</v>
      </c>
      <c r="B261" s="112">
        <f t="shared" si="48"/>
        <v>4</v>
      </c>
      <c r="C261" s="116" t="s">
        <v>458</v>
      </c>
      <c r="D261" s="227" t="s">
        <v>459</v>
      </c>
      <c r="E261" s="116" t="s">
        <v>14</v>
      </c>
      <c r="F261" s="118">
        <v>1000000</v>
      </c>
      <c r="G261" s="160"/>
      <c r="H261" s="120">
        <v>3000000</v>
      </c>
      <c r="I261" s="179" t="s">
        <v>40</v>
      </c>
      <c r="J261" s="74">
        <f t="shared" si="46"/>
        <v>1000000</v>
      </c>
      <c r="K261" s="17">
        <f t="shared" si="47"/>
        <v>3000000</v>
      </c>
      <c r="L261" s="33"/>
      <c r="M261" s="33"/>
      <c r="N261" s="33"/>
      <c r="O261" s="33"/>
      <c r="P261" s="33"/>
      <c r="Q261" s="33"/>
      <c r="R261" s="33"/>
      <c r="S261" s="34"/>
      <c r="T261" s="34"/>
      <c r="U261" s="34"/>
      <c r="V261" s="34"/>
      <c r="W261" s="34"/>
      <c r="X261" s="34"/>
      <c r="Y261" s="34"/>
      <c r="Z261" s="34"/>
      <c r="AA261" s="34"/>
      <c r="AB261" s="34"/>
      <c r="AC261" s="34"/>
      <c r="AD261" s="34"/>
      <c r="AE261" s="34"/>
      <c r="AF261" s="34"/>
      <c r="AG261" s="34"/>
      <c r="AH261" s="34"/>
      <c r="AI261" s="34"/>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row>
    <row r="262" spans="1:111" s="48" customFormat="1" ht="15.95" customHeight="1" x14ac:dyDescent="0.2">
      <c r="A262" s="127">
        <f t="shared" si="48"/>
        <v>221</v>
      </c>
      <c r="B262" s="112">
        <f t="shared" si="48"/>
        <v>5</v>
      </c>
      <c r="C262" s="116" t="s">
        <v>460</v>
      </c>
      <c r="D262" s="227" t="s">
        <v>461</v>
      </c>
      <c r="E262" s="116" t="s">
        <v>90</v>
      </c>
      <c r="F262" s="118">
        <v>37000</v>
      </c>
      <c r="G262" s="160"/>
      <c r="H262" s="120">
        <v>293000</v>
      </c>
      <c r="I262" s="179" t="s">
        <v>40</v>
      </c>
      <c r="J262" s="74">
        <f t="shared" si="46"/>
        <v>37000</v>
      </c>
      <c r="K262" s="17">
        <f t="shared" si="47"/>
        <v>293000</v>
      </c>
      <c r="L262" s="33"/>
      <c r="M262" s="33"/>
      <c r="N262" s="33"/>
      <c r="O262" s="33"/>
      <c r="P262" s="33"/>
      <c r="Q262" s="33"/>
      <c r="R262" s="33"/>
      <c r="S262" s="34"/>
      <c r="T262" s="34"/>
      <c r="U262" s="34"/>
      <c r="V262" s="34"/>
      <c r="W262" s="34"/>
      <c r="X262" s="34"/>
      <c r="Y262" s="34"/>
      <c r="Z262" s="34"/>
      <c r="AA262" s="34"/>
      <c r="AB262" s="34"/>
      <c r="AC262" s="34"/>
      <c r="AD262" s="34"/>
      <c r="AE262" s="34"/>
      <c r="AF262" s="34"/>
      <c r="AG262" s="34"/>
      <c r="AH262" s="34"/>
      <c r="AI262" s="34"/>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row>
    <row r="263" spans="1:111" s="48" customFormat="1" ht="15.95" customHeight="1" x14ac:dyDescent="0.2">
      <c r="A263" s="127">
        <f t="shared" si="48"/>
        <v>222</v>
      </c>
      <c r="B263" s="112">
        <f t="shared" si="48"/>
        <v>6</v>
      </c>
      <c r="C263" s="116" t="s">
        <v>462</v>
      </c>
      <c r="D263" s="227" t="s">
        <v>463</v>
      </c>
      <c r="E263" s="116" t="s">
        <v>90</v>
      </c>
      <c r="F263" s="118">
        <v>17500</v>
      </c>
      <c r="G263" s="160"/>
      <c r="H263" s="120">
        <v>250000</v>
      </c>
      <c r="I263" s="179" t="s">
        <v>40</v>
      </c>
      <c r="J263" s="74">
        <f t="shared" si="46"/>
        <v>17500</v>
      </c>
      <c r="K263" s="17">
        <f t="shared" si="47"/>
        <v>250000</v>
      </c>
      <c r="L263" s="33"/>
      <c r="M263" s="33"/>
      <c r="N263" s="33"/>
      <c r="O263" s="33"/>
      <c r="P263" s="33"/>
      <c r="Q263" s="33"/>
      <c r="R263" s="33"/>
      <c r="S263" s="34"/>
      <c r="T263" s="34"/>
      <c r="U263" s="34"/>
      <c r="V263" s="34"/>
      <c r="W263" s="34"/>
      <c r="X263" s="34"/>
      <c r="Y263" s="34"/>
      <c r="Z263" s="34"/>
      <c r="AA263" s="34"/>
      <c r="AB263" s="34"/>
      <c r="AC263" s="34"/>
      <c r="AD263" s="34"/>
      <c r="AE263" s="34"/>
      <c r="AF263" s="34"/>
      <c r="AG263" s="34"/>
      <c r="AH263" s="34"/>
      <c r="AI263" s="34"/>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2"/>
      <c r="CX263" s="12"/>
      <c r="CY263" s="12"/>
      <c r="CZ263" s="12"/>
      <c r="DA263" s="12"/>
      <c r="DB263" s="12"/>
      <c r="DC263" s="12"/>
      <c r="DD263" s="12"/>
      <c r="DE263" s="12"/>
      <c r="DF263" s="12"/>
      <c r="DG263" s="12"/>
    </row>
    <row r="264" spans="1:111" s="49" customFormat="1" ht="15.95" customHeight="1" x14ac:dyDescent="0.2">
      <c r="A264" s="127">
        <f t="shared" si="48"/>
        <v>223</v>
      </c>
      <c r="B264" s="112">
        <f t="shared" si="48"/>
        <v>7</v>
      </c>
      <c r="C264" s="116" t="s">
        <v>464</v>
      </c>
      <c r="D264" s="227" t="s">
        <v>465</v>
      </c>
      <c r="E264" s="116" t="s">
        <v>90</v>
      </c>
      <c r="F264" s="118">
        <v>58334</v>
      </c>
      <c r="G264" s="160"/>
      <c r="H264" s="120">
        <v>2537000</v>
      </c>
      <c r="I264" s="179" t="s">
        <v>40</v>
      </c>
      <c r="J264" s="74">
        <f t="shared" si="46"/>
        <v>58334</v>
      </c>
      <c r="K264" s="17">
        <f t="shared" si="47"/>
        <v>2537000</v>
      </c>
      <c r="L264" s="33"/>
      <c r="M264" s="33"/>
      <c r="N264" s="33"/>
      <c r="O264" s="33"/>
      <c r="P264" s="33"/>
      <c r="Q264" s="33"/>
      <c r="R264" s="33"/>
      <c r="S264" s="34"/>
      <c r="T264" s="34"/>
      <c r="U264" s="34"/>
      <c r="V264" s="34"/>
      <c r="W264" s="34"/>
      <c r="X264" s="34"/>
      <c r="Y264" s="34"/>
      <c r="Z264" s="34"/>
      <c r="AA264" s="34"/>
      <c r="AB264" s="34"/>
      <c r="AC264" s="34"/>
      <c r="AD264" s="34"/>
      <c r="AE264" s="34"/>
      <c r="AF264" s="34"/>
      <c r="AG264" s="34"/>
      <c r="AH264" s="34"/>
      <c r="AI264" s="34"/>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12"/>
      <c r="CX264" s="12"/>
      <c r="CY264" s="12"/>
      <c r="CZ264" s="12"/>
      <c r="DA264" s="12"/>
      <c r="DB264" s="12"/>
      <c r="DC264" s="12"/>
      <c r="DD264" s="12"/>
      <c r="DE264" s="12"/>
      <c r="DF264" s="12"/>
      <c r="DG264" s="12"/>
    </row>
    <row r="265" spans="1:111" s="35" customFormat="1" ht="15.95" customHeight="1" x14ac:dyDescent="0.2">
      <c r="A265" s="129">
        <f t="shared" si="48"/>
        <v>224</v>
      </c>
      <c r="B265" s="130">
        <f t="shared" si="48"/>
        <v>8</v>
      </c>
      <c r="C265" s="131" t="s">
        <v>466</v>
      </c>
      <c r="D265" s="229" t="s">
        <v>467</v>
      </c>
      <c r="E265" s="131" t="s">
        <v>97</v>
      </c>
      <c r="F265" s="132">
        <v>852495.5</v>
      </c>
      <c r="G265" s="162"/>
      <c r="H265" s="133"/>
      <c r="I265" s="184"/>
      <c r="J265" s="74">
        <f t="shared" si="46"/>
        <v>852495.5</v>
      </c>
      <c r="K265" s="17">
        <f t="shared" si="47"/>
        <v>0</v>
      </c>
      <c r="L265" s="33"/>
      <c r="M265" s="33"/>
      <c r="N265" s="33"/>
      <c r="O265" s="33"/>
      <c r="P265" s="33"/>
      <c r="Q265" s="33"/>
      <c r="R265" s="33"/>
      <c r="S265" s="34"/>
      <c r="T265" s="34"/>
      <c r="U265" s="34"/>
      <c r="V265" s="34"/>
      <c r="W265" s="34"/>
      <c r="X265" s="34"/>
      <c r="Y265" s="34"/>
      <c r="Z265" s="34"/>
      <c r="AA265" s="34"/>
      <c r="AB265" s="34"/>
      <c r="AC265" s="34"/>
      <c r="AD265" s="34"/>
      <c r="AE265" s="34"/>
      <c r="AF265" s="34"/>
      <c r="AG265" s="34"/>
      <c r="AH265" s="34"/>
      <c r="AI265" s="34"/>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12"/>
      <c r="CX265" s="12"/>
      <c r="CY265" s="12"/>
      <c r="CZ265" s="12"/>
      <c r="DA265" s="12"/>
      <c r="DB265" s="12"/>
      <c r="DC265" s="12"/>
      <c r="DD265" s="12"/>
      <c r="DE265" s="12"/>
      <c r="DF265" s="12"/>
      <c r="DG265" s="12"/>
    </row>
    <row r="266" spans="1:111" s="12" customFormat="1" ht="15.95" customHeight="1" x14ac:dyDescent="0.2">
      <c r="A266" s="16" t="s">
        <v>468</v>
      </c>
      <c r="B266" s="3"/>
      <c r="C266" s="2"/>
      <c r="D266" s="225"/>
      <c r="E266" s="2"/>
      <c r="F266" s="134">
        <f>SUM(F258:F265)</f>
        <v>2286271.5551090701</v>
      </c>
      <c r="G266" s="164"/>
      <c r="H266" s="134">
        <f>SUM(H258:H264)</f>
        <v>156080000</v>
      </c>
      <c r="I266" s="183"/>
      <c r="J266" s="74"/>
      <c r="K266" s="17"/>
      <c r="L266" s="33"/>
      <c r="M266" s="33"/>
      <c r="N266" s="33"/>
      <c r="O266" s="33"/>
      <c r="P266" s="33"/>
      <c r="Q266" s="33"/>
      <c r="R266" s="33"/>
      <c r="S266" s="34"/>
      <c r="T266" s="34"/>
      <c r="U266" s="34"/>
      <c r="V266" s="34"/>
      <c r="W266" s="34"/>
      <c r="X266" s="34"/>
      <c r="Y266" s="34"/>
      <c r="Z266" s="34"/>
      <c r="AA266" s="34"/>
      <c r="AB266" s="34"/>
      <c r="AC266" s="34"/>
      <c r="AD266" s="34"/>
      <c r="AE266" s="34"/>
      <c r="AF266" s="34"/>
      <c r="AG266" s="34"/>
      <c r="AH266" s="34"/>
      <c r="AI266" s="34"/>
    </row>
    <row r="267" spans="1:111" ht="15.95" customHeight="1" x14ac:dyDescent="0.2">
      <c r="A267" s="257">
        <v>2004</v>
      </c>
      <c r="B267" s="258"/>
      <c r="C267" s="258"/>
      <c r="D267" s="258"/>
      <c r="E267" s="258"/>
      <c r="F267" s="258"/>
      <c r="G267" s="258"/>
      <c r="H267" s="258"/>
      <c r="I267" s="259"/>
      <c r="J267" s="74">
        <f t="shared" ref="J267:J272" si="49">+F267</f>
        <v>0</v>
      </c>
      <c r="K267" s="17">
        <f t="shared" ref="K267:K274" si="50">+H267</f>
        <v>0</v>
      </c>
    </row>
    <row r="268" spans="1:111" s="48" customFormat="1" ht="15.95" customHeight="1" x14ac:dyDescent="0.2">
      <c r="A268" s="127">
        <f>+A265+1</f>
        <v>225</v>
      </c>
      <c r="B268" s="112">
        <v>1</v>
      </c>
      <c r="C268" s="116" t="s">
        <v>469</v>
      </c>
      <c r="D268" s="227" t="s">
        <v>470</v>
      </c>
      <c r="E268" s="116" t="s">
        <v>434</v>
      </c>
      <c r="F268" s="118">
        <f>108612/3.47</f>
        <v>31300.288184438039</v>
      </c>
      <c r="G268" s="160"/>
      <c r="H268" s="120"/>
      <c r="I268" s="179"/>
      <c r="J268" s="74">
        <f t="shared" si="49"/>
        <v>31300.288184438039</v>
      </c>
      <c r="K268" s="17">
        <f t="shared" si="50"/>
        <v>0</v>
      </c>
      <c r="L268" s="33"/>
      <c r="M268" s="33"/>
      <c r="N268" s="33"/>
      <c r="O268" s="33"/>
      <c r="P268" s="33"/>
      <c r="Q268" s="33"/>
      <c r="R268" s="33"/>
      <c r="S268" s="34"/>
      <c r="T268" s="34"/>
      <c r="U268" s="34"/>
      <c r="V268" s="34"/>
      <c r="W268" s="34"/>
      <c r="X268" s="34"/>
      <c r="Y268" s="34"/>
      <c r="Z268" s="34"/>
      <c r="AA268" s="34"/>
      <c r="AB268" s="34"/>
      <c r="AC268" s="34"/>
      <c r="AD268" s="34"/>
      <c r="AE268" s="34"/>
      <c r="AF268" s="34"/>
      <c r="AG268" s="34"/>
      <c r="AH268" s="34"/>
      <c r="AI268" s="34"/>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2"/>
      <c r="CX268" s="12"/>
      <c r="CY268" s="12"/>
      <c r="CZ268" s="12"/>
      <c r="DA268" s="12"/>
      <c r="DB268" s="12"/>
      <c r="DC268" s="12"/>
      <c r="DD268" s="12"/>
      <c r="DE268" s="12"/>
      <c r="DF268" s="12"/>
      <c r="DG268" s="12"/>
    </row>
    <row r="269" spans="1:111" s="48" customFormat="1" ht="15.95" customHeight="1" x14ac:dyDescent="0.2">
      <c r="A269" s="127">
        <f>+A268+1</f>
        <v>226</v>
      </c>
      <c r="B269" s="112">
        <f>+B268+1</f>
        <v>2</v>
      </c>
      <c r="C269" s="116" t="s">
        <v>471</v>
      </c>
      <c r="D269" s="227" t="s">
        <v>472</v>
      </c>
      <c r="E269" s="116" t="s">
        <v>14</v>
      </c>
      <c r="F269" s="118">
        <v>183000</v>
      </c>
      <c r="G269" s="160"/>
      <c r="H269" s="120"/>
      <c r="I269" s="179"/>
      <c r="J269" s="74">
        <f t="shared" si="49"/>
        <v>183000</v>
      </c>
      <c r="K269" s="17">
        <f t="shared" si="50"/>
        <v>0</v>
      </c>
      <c r="L269" s="33"/>
      <c r="M269" s="33"/>
      <c r="N269" s="33"/>
      <c r="O269" s="33"/>
      <c r="P269" s="33"/>
      <c r="Q269" s="33"/>
      <c r="R269" s="33"/>
      <c r="S269" s="34"/>
      <c r="T269" s="34"/>
      <c r="U269" s="34"/>
      <c r="V269" s="34"/>
      <c r="W269" s="34"/>
      <c r="X269" s="34"/>
      <c r="Y269" s="34"/>
      <c r="Z269" s="34"/>
      <c r="AA269" s="34"/>
      <c r="AB269" s="34"/>
      <c r="AC269" s="34"/>
      <c r="AD269" s="34"/>
      <c r="AE269" s="34"/>
      <c r="AF269" s="34"/>
      <c r="AG269" s="34"/>
      <c r="AH269" s="34"/>
      <c r="AI269" s="34"/>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12"/>
      <c r="CX269" s="12"/>
      <c r="CY269" s="12"/>
      <c r="CZ269" s="12"/>
      <c r="DA269" s="12"/>
      <c r="DB269" s="12"/>
      <c r="DC269" s="12"/>
      <c r="DD269" s="12"/>
      <c r="DE269" s="12"/>
      <c r="DF269" s="12"/>
      <c r="DG269" s="12"/>
    </row>
    <row r="270" spans="1:111" s="48" customFormat="1" ht="15.95" customHeight="1" x14ac:dyDescent="0.2">
      <c r="A270" s="127">
        <f>+A269+1</f>
        <v>227</v>
      </c>
      <c r="B270" s="112">
        <f>B269+1</f>
        <v>3</v>
      </c>
      <c r="C270" s="116" t="s">
        <v>473</v>
      </c>
      <c r="D270" s="227" t="s">
        <v>474</v>
      </c>
      <c r="E270" s="116" t="s">
        <v>23</v>
      </c>
      <c r="F270" s="118">
        <f>245696636.64/3.466</f>
        <v>70887662.042700514</v>
      </c>
      <c r="G270" s="160"/>
      <c r="H270" s="120"/>
      <c r="I270" s="179"/>
      <c r="J270" s="74">
        <f t="shared" si="49"/>
        <v>70887662.042700514</v>
      </c>
      <c r="K270" s="17">
        <f t="shared" si="50"/>
        <v>0</v>
      </c>
      <c r="L270" s="33"/>
      <c r="M270" s="33"/>
      <c r="N270" s="33"/>
      <c r="O270" s="33"/>
      <c r="P270" s="33"/>
      <c r="Q270" s="33"/>
      <c r="R270" s="33"/>
      <c r="S270" s="34"/>
      <c r="T270" s="34"/>
      <c r="U270" s="34"/>
      <c r="V270" s="34"/>
      <c r="W270" s="34"/>
      <c r="X270" s="34"/>
      <c r="Y270" s="34"/>
      <c r="Z270" s="34"/>
      <c r="AA270" s="34"/>
      <c r="AB270" s="34"/>
      <c r="AC270" s="34"/>
      <c r="AD270" s="34"/>
      <c r="AE270" s="34"/>
      <c r="AF270" s="34"/>
      <c r="AG270" s="34"/>
      <c r="AH270" s="34"/>
      <c r="AI270" s="34"/>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row>
    <row r="271" spans="1:111" s="49" customFormat="1" ht="15.95" customHeight="1" x14ac:dyDescent="0.2">
      <c r="A271" s="127">
        <f>+A270+1</f>
        <v>228</v>
      </c>
      <c r="B271" s="112">
        <f>B270+1</f>
        <v>4</v>
      </c>
      <c r="C271" s="116" t="s">
        <v>475</v>
      </c>
      <c r="D271" s="227" t="s">
        <v>476</v>
      </c>
      <c r="E271" s="116" t="s">
        <v>14</v>
      </c>
      <c r="F271" s="118">
        <v>560654</v>
      </c>
      <c r="G271" s="160"/>
      <c r="H271" s="120"/>
      <c r="I271" s="179"/>
      <c r="J271" s="74">
        <f t="shared" si="49"/>
        <v>560654</v>
      </c>
      <c r="K271" s="17">
        <f t="shared" si="50"/>
        <v>0</v>
      </c>
      <c r="L271" s="33"/>
      <c r="M271" s="33"/>
      <c r="N271" s="33"/>
      <c r="O271" s="33"/>
      <c r="P271" s="33"/>
      <c r="Q271" s="33"/>
      <c r="R271" s="33"/>
      <c r="S271" s="34"/>
      <c r="T271" s="34"/>
      <c r="U271" s="34"/>
      <c r="V271" s="34"/>
      <c r="W271" s="34"/>
      <c r="X271" s="34"/>
      <c r="Y271" s="34"/>
      <c r="Z271" s="34"/>
      <c r="AA271" s="34"/>
      <c r="AB271" s="34"/>
      <c r="AC271" s="34"/>
      <c r="AD271" s="34"/>
      <c r="AE271" s="34"/>
      <c r="AF271" s="34"/>
      <c r="AG271" s="34"/>
      <c r="AH271" s="34"/>
      <c r="AI271" s="34"/>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12"/>
      <c r="CX271" s="12"/>
      <c r="CY271" s="12"/>
      <c r="CZ271" s="12"/>
      <c r="DA271" s="12"/>
      <c r="DB271" s="12"/>
      <c r="DC271" s="12"/>
      <c r="DD271" s="12"/>
      <c r="DE271" s="12"/>
      <c r="DF271" s="12"/>
      <c r="DG271" s="12"/>
    </row>
    <row r="272" spans="1:111" s="50" customFormat="1" ht="15.95" customHeight="1" x14ac:dyDescent="0.2">
      <c r="A272" s="127">
        <f>+A271+1</f>
        <v>229</v>
      </c>
      <c r="B272" s="112">
        <f>B271+1</f>
        <v>5</v>
      </c>
      <c r="C272" s="116" t="s">
        <v>477</v>
      </c>
      <c r="D272" s="227" t="s">
        <v>478</v>
      </c>
      <c r="E272" s="116" t="s">
        <v>97</v>
      </c>
      <c r="F272" s="118">
        <f>641950+11200+200</f>
        <v>653350</v>
      </c>
      <c r="G272" s="160"/>
      <c r="H272" s="120"/>
      <c r="I272" s="179"/>
      <c r="J272" s="74">
        <f t="shared" si="49"/>
        <v>653350</v>
      </c>
      <c r="K272" s="17">
        <f t="shared" si="50"/>
        <v>0</v>
      </c>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81"/>
      <c r="AK272" s="81"/>
      <c r="AL272" s="81"/>
      <c r="AM272" s="81"/>
      <c r="AN272" s="81"/>
      <c r="AO272" s="81"/>
      <c r="AP272" s="81"/>
      <c r="AQ272" s="81"/>
      <c r="AR272" s="81"/>
      <c r="AS272" s="81"/>
      <c r="AT272" s="81"/>
      <c r="AU272" s="81"/>
      <c r="AV272" s="81"/>
      <c r="AW272" s="81"/>
      <c r="AX272" s="81"/>
      <c r="AY272" s="81"/>
      <c r="AZ272" s="81"/>
      <c r="BA272" s="81"/>
      <c r="BB272" s="81"/>
      <c r="BC272" s="81"/>
      <c r="BD272" s="81"/>
      <c r="BE272" s="81"/>
      <c r="BF272" s="81"/>
      <c r="BG272" s="81"/>
      <c r="BH272" s="81"/>
      <c r="BI272" s="81"/>
      <c r="BJ272" s="81"/>
      <c r="BK272" s="81"/>
      <c r="BL272" s="81"/>
      <c r="BM272" s="81"/>
      <c r="BN272" s="81"/>
      <c r="BO272" s="81"/>
      <c r="BP272" s="81"/>
      <c r="BQ272" s="81"/>
      <c r="BR272" s="81"/>
      <c r="BS272" s="81"/>
      <c r="BT272" s="81"/>
      <c r="BU272" s="81"/>
      <c r="BV272" s="81"/>
      <c r="BW272" s="81"/>
      <c r="BX272" s="81"/>
      <c r="BY272" s="81"/>
      <c r="BZ272" s="81"/>
      <c r="CA272" s="81"/>
      <c r="CB272" s="81"/>
      <c r="CC272" s="81"/>
      <c r="CD272" s="81"/>
      <c r="CE272" s="81"/>
      <c r="CF272" s="81"/>
      <c r="CG272" s="81"/>
      <c r="CH272" s="81"/>
      <c r="CI272" s="81"/>
      <c r="CJ272" s="81"/>
      <c r="CK272" s="81"/>
      <c r="CL272" s="81"/>
      <c r="CM272" s="81"/>
      <c r="CN272" s="81"/>
      <c r="CO272" s="81"/>
      <c r="CP272" s="81"/>
      <c r="CQ272" s="81"/>
      <c r="CR272" s="81"/>
      <c r="CS272" s="81"/>
      <c r="CT272" s="81"/>
      <c r="CU272" s="81"/>
      <c r="CV272" s="81"/>
      <c r="CW272" s="81"/>
      <c r="CX272" s="81"/>
      <c r="CY272" s="81"/>
      <c r="CZ272" s="81"/>
      <c r="DA272" s="81"/>
      <c r="DB272" s="81"/>
      <c r="DC272" s="81"/>
      <c r="DD272" s="81"/>
      <c r="DE272" s="81"/>
      <c r="DF272" s="81"/>
      <c r="DG272" s="81"/>
    </row>
    <row r="273" spans="1:111" ht="15.95" customHeight="1" x14ac:dyDescent="0.2">
      <c r="A273" s="127">
        <f>+A272+1</f>
        <v>230</v>
      </c>
      <c r="B273" s="112">
        <f>B272+1</f>
        <v>6</v>
      </c>
      <c r="C273" s="116" t="s">
        <v>479</v>
      </c>
      <c r="D273" s="227" t="s">
        <v>480</v>
      </c>
      <c r="E273" s="116" t="s">
        <v>14</v>
      </c>
      <c r="F273" s="118">
        <v>97500000</v>
      </c>
      <c r="G273" s="160" t="s">
        <v>481</v>
      </c>
      <c r="H273" s="120">
        <v>300000000</v>
      </c>
      <c r="I273" s="179" t="s">
        <v>482</v>
      </c>
      <c r="J273" s="74"/>
      <c r="K273" s="17">
        <f>+H308</f>
        <v>2152269000</v>
      </c>
      <c r="L273" s="8"/>
      <c r="M273" s="8"/>
      <c r="N273" s="8"/>
      <c r="O273" s="8"/>
      <c r="P273" s="8"/>
      <c r="Q273" s="8"/>
      <c r="R273" s="8"/>
    </row>
    <row r="274" spans="1:111" s="51" customFormat="1" ht="15.95" customHeight="1" x14ac:dyDescent="0.2">
      <c r="A274" s="129">
        <f>+A273+1</f>
        <v>231</v>
      </c>
      <c r="B274" s="130">
        <f>B273+1</f>
        <v>7</v>
      </c>
      <c r="C274" s="131" t="s">
        <v>483</v>
      </c>
      <c r="D274" s="229" t="s">
        <v>484</v>
      </c>
      <c r="E274" s="131" t="s">
        <v>90</v>
      </c>
      <c r="F274" s="132">
        <f>1345141*1.3/3.365</f>
        <v>519668.1426448737</v>
      </c>
      <c r="G274" s="162"/>
      <c r="H274" s="133"/>
      <c r="I274" s="184"/>
      <c r="J274" s="74">
        <f>+F274</f>
        <v>519668.1426448737</v>
      </c>
      <c r="K274" s="17">
        <f t="shared" si="50"/>
        <v>0</v>
      </c>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81"/>
      <c r="AK274" s="81"/>
      <c r="AL274" s="81"/>
      <c r="AM274" s="81"/>
      <c r="AN274" s="81"/>
      <c r="AO274" s="81"/>
      <c r="AP274" s="81"/>
      <c r="AQ274" s="81"/>
      <c r="AR274" s="81"/>
      <c r="AS274" s="81"/>
      <c r="AT274" s="81"/>
      <c r="AU274" s="81"/>
      <c r="AV274" s="81"/>
      <c r="AW274" s="81"/>
      <c r="AX274" s="81"/>
      <c r="AY274" s="81"/>
      <c r="AZ274" s="81"/>
      <c r="BA274" s="81"/>
      <c r="BB274" s="81"/>
      <c r="BC274" s="81"/>
      <c r="BD274" s="81"/>
      <c r="BE274" s="81"/>
      <c r="BF274" s="81"/>
      <c r="BG274" s="81"/>
      <c r="BH274" s="81"/>
      <c r="BI274" s="81"/>
      <c r="BJ274" s="81"/>
      <c r="BK274" s="81"/>
      <c r="BL274" s="81"/>
      <c r="BM274" s="81"/>
      <c r="BN274" s="81"/>
      <c r="BO274" s="81"/>
      <c r="BP274" s="81"/>
      <c r="BQ274" s="81"/>
      <c r="BR274" s="81"/>
      <c r="BS274" s="81"/>
      <c r="BT274" s="81"/>
      <c r="BU274" s="81"/>
      <c r="BV274" s="81"/>
      <c r="BW274" s="81"/>
      <c r="BX274" s="81"/>
      <c r="BY274" s="81"/>
      <c r="BZ274" s="81"/>
      <c r="CA274" s="81"/>
      <c r="CB274" s="81"/>
      <c r="CC274" s="81"/>
      <c r="CD274" s="81"/>
      <c r="CE274" s="81"/>
      <c r="CF274" s="81"/>
      <c r="CG274" s="81"/>
      <c r="CH274" s="81"/>
      <c r="CI274" s="81"/>
      <c r="CJ274" s="81"/>
      <c r="CK274" s="81"/>
      <c r="CL274" s="81"/>
      <c r="CM274" s="81"/>
      <c r="CN274" s="81"/>
      <c r="CO274" s="81"/>
      <c r="CP274" s="81"/>
      <c r="CQ274" s="81"/>
      <c r="CR274" s="81"/>
      <c r="CS274" s="81"/>
      <c r="CT274" s="81"/>
      <c r="CU274" s="81"/>
      <c r="CV274" s="81"/>
      <c r="CW274" s="81"/>
      <c r="CX274" s="81"/>
      <c r="CY274" s="81"/>
      <c r="CZ274" s="81"/>
      <c r="DA274" s="81"/>
      <c r="DB274" s="81"/>
      <c r="DC274" s="81"/>
      <c r="DD274" s="81"/>
      <c r="DE274" s="81"/>
      <c r="DF274" s="81"/>
      <c r="DG274" s="81"/>
    </row>
    <row r="275" spans="1:111" s="12" customFormat="1" ht="15.95" customHeight="1" x14ac:dyDescent="0.2">
      <c r="A275" s="16" t="s">
        <v>485</v>
      </c>
      <c r="B275" s="3"/>
      <c r="C275" s="2"/>
      <c r="D275" s="225"/>
      <c r="E275" s="2"/>
      <c r="F275" s="134">
        <f>SUM(F268:F274)</f>
        <v>170335634.47352982</v>
      </c>
      <c r="G275" s="164"/>
      <c r="H275" s="134">
        <f>SUM(H268:H274)</f>
        <v>300000000</v>
      </c>
      <c r="I275" s="183"/>
      <c r="J275" s="74"/>
      <c r="K275" s="17"/>
      <c r="L275" s="33"/>
      <c r="M275" s="33"/>
      <c r="N275" s="33"/>
      <c r="O275" s="33"/>
      <c r="P275" s="33"/>
      <c r="Q275" s="33"/>
      <c r="R275" s="33"/>
      <c r="S275" s="34"/>
      <c r="T275" s="34"/>
      <c r="U275" s="34"/>
      <c r="V275" s="34"/>
      <c r="W275" s="34"/>
      <c r="X275" s="34"/>
      <c r="Y275" s="34"/>
      <c r="Z275" s="34"/>
      <c r="AA275" s="34"/>
      <c r="AB275" s="34"/>
      <c r="AC275" s="34"/>
      <c r="AD275" s="34"/>
      <c r="AE275" s="34"/>
      <c r="AF275" s="34"/>
      <c r="AG275" s="34"/>
      <c r="AH275" s="34"/>
      <c r="AI275" s="34"/>
    </row>
    <row r="276" spans="1:111" ht="15.95" customHeight="1" x14ac:dyDescent="0.2">
      <c r="A276" s="257">
        <v>2005</v>
      </c>
      <c r="B276" s="258"/>
      <c r="C276" s="258"/>
      <c r="D276" s="258"/>
      <c r="E276" s="258"/>
      <c r="F276" s="258"/>
      <c r="G276" s="258"/>
      <c r="H276" s="258"/>
      <c r="I276" s="259"/>
      <c r="J276" s="74">
        <f t="shared" ref="J276:J286" si="51">+F276</f>
        <v>0</v>
      </c>
      <c r="K276" s="17">
        <f t="shared" ref="K276:K286" si="52">+H276</f>
        <v>0</v>
      </c>
    </row>
    <row r="277" spans="1:111" s="48" customFormat="1" ht="15.95" customHeight="1" x14ac:dyDescent="0.2">
      <c r="A277" s="127">
        <f>+A274+1</f>
        <v>232</v>
      </c>
      <c r="B277" s="112">
        <v>1</v>
      </c>
      <c r="C277" s="116" t="s">
        <v>486</v>
      </c>
      <c r="D277" s="227" t="s">
        <v>487</v>
      </c>
      <c r="E277" s="116" t="s">
        <v>90</v>
      </c>
      <c r="F277" s="118">
        <f>15268955*0.115</f>
        <v>1755929.8250000002</v>
      </c>
      <c r="G277" s="160"/>
      <c r="H277" s="120"/>
      <c r="I277" s="179"/>
      <c r="J277" s="74">
        <f t="shared" si="51"/>
        <v>1755929.8250000002</v>
      </c>
      <c r="K277" s="17">
        <f t="shared" si="52"/>
        <v>0</v>
      </c>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row>
    <row r="278" spans="1:111" s="48" customFormat="1" ht="15.95" customHeight="1" x14ac:dyDescent="0.2">
      <c r="A278" s="127">
        <f t="shared" ref="A278:A286" si="53">+A277+1</f>
        <v>233</v>
      </c>
      <c r="B278" s="112">
        <f t="shared" ref="B278:B286" si="54">+B277+1</f>
        <v>2</v>
      </c>
      <c r="C278" s="116" t="s">
        <v>488</v>
      </c>
      <c r="D278" s="227" t="s">
        <v>489</v>
      </c>
      <c r="E278" s="116" t="s">
        <v>104</v>
      </c>
      <c r="F278" s="118">
        <v>4350001</v>
      </c>
      <c r="G278" s="160"/>
      <c r="H278" s="120"/>
      <c r="I278" s="179"/>
      <c r="J278" s="74">
        <f t="shared" si="51"/>
        <v>4350001</v>
      </c>
      <c r="K278" s="17">
        <f t="shared" si="52"/>
        <v>0</v>
      </c>
      <c r="L278" s="34">
        <f>3039831*1.18</f>
        <v>3587000.5799999996</v>
      </c>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2"/>
      <c r="CX278" s="12"/>
      <c r="CY278" s="12"/>
      <c r="CZ278" s="12"/>
      <c r="DA278" s="12"/>
      <c r="DB278" s="12"/>
      <c r="DC278" s="12"/>
      <c r="DD278" s="12"/>
      <c r="DE278" s="12"/>
      <c r="DF278" s="12"/>
      <c r="DG278" s="12"/>
    </row>
    <row r="279" spans="1:111" s="48" customFormat="1" ht="15.95" customHeight="1" x14ac:dyDescent="0.2">
      <c r="A279" s="127">
        <f t="shared" si="53"/>
        <v>234</v>
      </c>
      <c r="B279" s="112">
        <f t="shared" si="54"/>
        <v>3</v>
      </c>
      <c r="C279" s="116" t="s">
        <v>490</v>
      </c>
      <c r="D279" s="227" t="s">
        <v>491</v>
      </c>
      <c r="E279" s="116" t="s">
        <v>14</v>
      </c>
      <c r="F279" s="118">
        <v>3000000</v>
      </c>
      <c r="G279" s="160"/>
      <c r="H279" s="120">
        <v>566000000</v>
      </c>
      <c r="I279" s="179"/>
      <c r="J279" s="74">
        <f t="shared" si="51"/>
        <v>3000000</v>
      </c>
      <c r="K279" s="17">
        <f t="shared" si="52"/>
        <v>566000000</v>
      </c>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2"/>
      <c r="CX279" s="12"/>
      <c r="CY279" s="12"/>
      <c r="CZ279" s="12"/>
      <c r="DA279" s="12"/>
      <c r="DB279" s="12"/>
      <c r="DC279" s="12"/>
      <c r="DD279" s="12"/>
      <c r="DE279" s="12"/>
      <c r="DF279" s="12"/>
      <c r="DG279" s="12"/>
    </row>
    <row r="280" spans="1:111" s="49" customFormat="1" ht="15.95" customHeight="1" x14ac:dyDescent="0.2">
      <c r="A280" s="127">
        <f t="shared" si="53"/>
        <v>235</v>
      </c>
      <c r="B280" s="112">
        <f t="shared" si="54"/>
        <v>4</v>
      </c>
      <c r="C280" s="116" t="s">
        <v>492</v>
      </c>
      <c r="D280" s="227" t="s">
        <v>493</v>
      </c>
      <c r="E280" s="116" t="s">
        <v>68</v>
      </c>
      <c r="F280" s="118">
        <f>457469*1.37/3.262</f>
        <v>192131.37032495401</v>
      </c>
      <c r="G280" s="160"/>
      <c r="H280" s="120"/>
      <c r="I280" s="179"/>
      <c r="J280" s="74">
        <f t="shared" si="51"/>
        <v>192131.37032495401</v>
      </c>
      <c r="K280" s="17">
        <f t="shared" si="52"/>
        <v>0</v>
      </c>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row>
    <row r="281" spans="1:111" s="27" customFormat="1" ht="15.95" customHeight="1" x14ac:dyDescent="0.2">
      <c r="A281" s="127">
        <f t="shared" si="53"/>
        <v>236</v>
      </c>
      <c r="B281" s="112">
        <f t="shared" si="54"/>
        <v>5</v>
      </c>
      <c r="C281" s="116" t="s">
        <v>494</v>
      </c>
      <c r="D281" s="227" t="s">
        <v>495</v>
      </c>
      <c r="E281" s="116" t="s">
        <v>137</v>
      </c>
      <c r="F281" s="118">
        <v>58508.52</v>
      </c>
      <c r="G281" s="160"/>
      <c r="H281" s="120">
        <f>3627110.16/3.23</f>
        <v>1122944.3219814242</v>
      </c>
      <c r="I281" s="179"/>
      <c r="J281" s="74">
        <f t="shared" si="51"/>
        <v>58508.52</v>
      </c>
      <c r="K281" s="17">
        <f t="shared" si="52"/>
        <v>1122944.3219814242</v>
      </c>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2"/>
      <c r="CX281" s="12"/>
      <c r="CY281" s="12"/>
      <c r="CZ281" s="12"/>
      <c r="DA281" s="12"/>
      <c r="DB281" s="12"/>
      <c r="DC281" s="12"/>
      <c r="DD281" s="12"/>
      <c r="DE281" s="12"/>
      <c r="DF281" s="12"/>
      <c r="DG281" s="12"/>
    </row>
    <row r="282" spans="1:111" s="27" customFormat="1" ht="15.95" customHeight="1" x14ac:dyDescent="0.2">
      <c r="A282" s="127">
        <f t="shared" si="53"/>
        <v>237</v>
      </c>
      <c r="B282" s="112">
        <f t="shared" si="54"/>
        <v>6</v>
      </c>
      <c r="C282" s="116" t="s">
        <v>496</v>
      </c>
      <c r="D282" s="227" t="s">
        <v>497</v>
      </c>
      <c r="E282" s="116" t="s">
        <v>104</v>
      </c>
      <c r="F282" s="118">
        <v>4475000</v>
      </c>
      <c r="G282" s="160"/>
      <c r="H282" s="120"/>
      <c r="I282" s="179"/>
      <c r="J282" s="74">
        <f t="shared" si="51"/>
        <v>4475000</v>
      </c>
      <c r="K282" s="17">
        <f t="shared" si="52"/>
        <v>0</v>
      </c>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12"/>
      <c r="CX282" s="12"/>
      <c r="CY282" s="12"/>
      <c r="CZ282" s="12"/>
      <c r="DA282" s="12"/>
      <c r="DB282" s="12"/>
      <c r="DC282" s="12"/>
      <c r="DD282" s="12"/>
      <c r="DE282" s="12"/>
      <c r="DF282" s="12"/>
      <c r="DG282" s="12"/>
    </row>
    <row r="283" spans="1:111" s="27" customFormat="1" ht="15.95" customHeight="1" x14ac:dyDescent="0.2">
      <c r="A283" s="127">
        <f t="shared" si="53"/>
        <v>238</v>
      </c>
      <c r="B283" s="112">
        <f t="shared" si="54"/>
        <v>7</v>
      </c>
      <c r="C283" s="116" t="s">
        <v>498</v>
      </c>
      <c r="D283" s="227" t="s">
        <v>499</v>
      </c>
      <c r="E283" s="116" t="s">
        <v>90</v>
      </c>
      <c r="F283" s="118">
        <f>723155*0.46/3.251</f>
        <v>102322.76222700707</v>
      </c>
      <c r="G283" s="160"/>
      <c r="H283" s="120"/>
      <c r="I283" s="179"/>
      <c r="J283" s="74">
        <f t="shared" si="51"/>
        <v>102322.76222700707</v>
      </c>
      <c r="K283" s="17">
        <f t="shared" si="52"/>
        <v>0</v>
      </c>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2"/>
      <c r="CX283" s="12"/>
      <c r="CY283" s="12"/>
      <c r="CZ283" s="12"/>
      <c r="DA283" s="12"/>
      <c r="DB283" s="12"/>
      <c r="DC283" s="12"/>
      <c r="DD283" s="12"/>
      <c r="DE283" s="12"/>
      <c r="DF283" s="12"/>
      <c r="DG283" s="12"/>
    </row>
    <row r="284" spans="1:111" s="27" customFormat="1" ht="15.95" customHeight="1" x14ac:dyDescent="0.2">
      <c r="A284" s="127">
        <f t="shared" si="53"/>
        <v>239</v>
      </c>
      <c r="B284" s="112">
        <f t="shared" si="54"/>
        <v>8</v>
      </c>
      <c r="C284" s="116" t="s">
        <v>500</v>
      </c>
      <c r="D284" s="227" t="s">
        <v>501</v>
      </c>
      <c r="E284" s="116" t="s">
        <v>90</v>
      </c>
      <c r="F284" s="118">
        <v>71039</v>
      </c>
      <c r="G284" s="160"/>
      <c r="H284" s="120"/>
      <c r="I284" s="179"/>
      <c r="J284" s="74">
        <f t="shared" si="51"/>
        <v>71039</v>
      </c>
      <c r="K284" s="17">
        <f t="shared" si="52"/>
        <v>0</v>
      </c>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12"/>
      <c r="CX284" s="12"/>
      <c r="CY284" s="12"/>
      <c r="CZ284" s="12"/>
      <c r="DA284" s="12"/>
      <c r="DB284" s="12"/>
      <c r="DC284" s="12"/>
      <c r="DD284" s="12"/>
      <c r="DE284" s="12"/>
      <c r="DF284" s="12"/>
      <c r="DG284" s="12"/>
    </row>
    <row r="285" spans="1:111" s="27" customFormat="1" ht="15.95" customHeight="1" x14ac:dyDescent="0.2">
      <c r="A285" s="127">
        <f>+A284+1</f>
        <v>240</v>
      </c>
      <c r="B285" s="112">
        <f>+B284+1</f>
        <v>9</v>
      </c>
      <c r="C285" s="116" t="s">
        <v>502</v>
      </c>
      <c r="D285" s="227" t="s">
        <v>503</v>
      </c>
      <c r="E285" s="116" t="s">
        <v>14</v>
      </c>
      <c r="F285" s="118">
        <v>61300000</v>
      </c>
      <c r="G285" s="160"/>
      <c r="H285" s="120">
        <v>2500000000</v>
      </c>
      <c r="I285" s="179"/>
      <c r="J285" s="74">
        <f t="shared" si="51"/>
        <v>61300000</v>
      </c>
      <c r="K285" s="17">
        <f t="shared" si="52"/>
        <v>2500000000</v>
      </c>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2"/>
      <c r="CX285" s="12"/>
      <c r="CY285" s="12"/>
      <c r="CZ285" s="12"/>
      <c r="DA285" s="12"/>
      <c r="DB285" s="12"/>
      <c r="DC285" s="12"/>
      <c r="DD285" s="12"/>
      <c r="DE285" s="12"/>
      <c r="DF285" s="12"/>
      <c r="DG285" s="12"/>
    </row>
    <row r="286" spans="1:111" s="48" customFormat="1" ht="15.95" customHeight="1" x14ac:dyDescent="0.2">
      <c r="A286" s="129">
        <f t="shared" si="53"/>
        <v>241</v>
      </c>
      <c r="B286" s="130">
        <f t="shared" si="54"/>
        <v>10</v>
      </c>
      <c r="C286" s="131" t="s">
        <v>504</v>
      </c>
      <c r="D286" s="229" t="s">
        <v>505</v>
      </c>
      <c r="E286" s="131" t="s">
        <v>97</v>
      </c>
      <c r="F286" s="132">
        <v>3079954.3298344226</v>
      </c>
      <c r="G286" s="162"/>
      <c r="H286" s="133"/>
      <c r="I286" s="184"/>
      <c r="J286" s="74">
        <f t="shared" si="51"/>
        <v>3079954.3298344226</v>
      </c>
      <c r="K286" s="17">
        <f t="shared" si="52"/>
        <v>0</v>
      </c>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12"/>
      <c r="CX286" s="12"/>
      <c r="CY286" s="12"/>
      <c r="CZ286" s="12"/>
      <c r="DA286" s="12"/>
      <c r="DB286" s="12"/>
      <c r="DC286" s="12"/>
      <c r="DD286" s="12"/>
      <c r="DE286" s="12"/>
      <c r="DF286" s="12"/>
      <c r="DG286" s="12"/>
    </row>
    <row r="287" spans="1:111" s="12" customFormat="1" ht="15.95" customHeight="1" x14ac:dyDescent="0.2">
      <c r="A287" s="16" t="s">
        <v>506</v>
      </c>
      <c r="B287" s="3"/>
      <c r="C287" s="2"/>
      <c r="D287" s="225"/>
      <c r="E287" s="2"/>
      <c r="F287" s="134">
        <f>SUM(F277:F286)</f>
        <v>78384886.807386383</v>
      </c>
      <c r="G287" s="164"/>
      <c r="H287" s="134">
        <f>SUM(H277:H286)</f>
        <v>3067122944.3219814</v>
      </c>
      <c r="I287" s="183"/>
      <c r="J287" s="74"/>
      <c r="K287" s="17"/>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row>
    <row r="288" spans="1:111" ht="15.95" customHeight="1" x14ac:dyDescent="0.2">
      <c r="A288" s="257">
        <v>2006</v>
      </c>
      <c r="B288" s="258"/>
      <c r="C288" s="258"/>
      <c r="D288" s="258"/>
      <c r="E288" s="258"/>
      <c r="F288" s="258"/>
      <c r="G288" s="258"/>
      <c r="H288" s="258"/>
      <c r="I288" s="259"/>
      <c r="J288" s="74">
        <f t="shared" ref="J288:J296" si="55">+F288</f>
        <v>0</v>
      </c>
      <c r="K288" s="17">
        <f t="shared" ref="K288:K296" si="56">+H288</f>
        <v>0</v>
      </c>
    </row>
    <row r="289" spans="1:111" s="48" customFormat="1" ht="15.95" customHeight="1" x14ac:dyDescent="0.2">
      <c r="A289" s="127">
        <f>+A286+1</f>
        <v>242</v>
      </c>
      <c r="B289" s="112">
        <v>1</v>
      </c>
      <c r="C289" s="116" t="s">
        <v>507</v>
      </c>
      <c r="D289" s="227" t="s">
        <v>508</v>
      </c>
      <c r="E289" s="116" t="s">
        <v>90</v>
      </c>
      <c r="F289" s="118">
        <f>7019383.6/3.443</f>
        <v>2038740.516990996</v>
      </c>
      <c r="G289" s="160"/>
      <c r="H289" s="120"/>
      <c r="I289" s="179"/>
      <c r="J289" s="74">
        <f t="shared" si="55"/>
        <v>2038740.516990996</v>
      </c>
      <c r="K289" s="17">
        <f t="shared" si="56"/>
        <v>0</v>
      </c>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12"/>
      <c r="CX289" s="12"/>
      <c r="CY289" s="12"/>
      <c r="CZ289" s="12"/>
      <c r="DA289" s="12"/>
      <c r="DB289" s="12"/>
      <c r="DC289" s="12"/>
      <c r="DD289" s="12"/>
      <c r="DE289" s="12"/>
      <c r="DF289" s="12"/>
      <c r="DG289" s="12"/>
    </row>
    <row r="290" spans="1:111" s="48" customFormat="1" ht="15.95" customHeight="1" x14ac:dyDescent="0.2">
      <c r="A290" s="127">
        <f t="shared" ref="A290:B296" si="57">+A289+1</f>
        <v>243</v>
      </c>
      <c r="B290" s="112">
        <f t="shared" si="57"/>
        <v>2</v>
      </c>
      <c r="C290" s="116" t="s">
        <v>507</v>
      </c>
      <c r="D290" s="227" t="s">
        <v>509</v>
      </c>
      <c r="E290" s="116" t="s">
        <v>90</v>
      </c>
      <c r="F290" s="118">
        <f>928542.5/3.443</f>
        <v>269689.95062445541</v>
      </c>
      <c r="G290" s="160"/>
      <c r="H290" s="120"/>
      <c r="I290" s="179"/>
      <c r="J290" s="74">
        <f t="shared" si="55"/>
        <v>269689.95062445541</v>
      </c>
      <c r="K290" s="17">
        <f t="shared" si="56"/>
        <v>0</v>
      </c>
      <c r="L290" s="34">
        <f>3039831*1.18</f>
        <v>3587000.5799999996</v>
      </c>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12"/>
      <c r="CX290" s="12"/>
      <c r="CY290" s="12"/>
      <c r="CZ290" s="12"/>
      <c r="DA290" s="12"/>
      <c r="DB290" s="12"/>
      <c r="DC290" s="12"/>
      <c r="DD290" s="12"/>
      <c r="DE290" s="12"/>
      <c r="DF290" s="12"/>
      <c r="DG290" s="12"/>
    </row>
    <row r="291" spans="1:111" s="48" customFormat="1" ht="15.95" customHeight="1" x14ac:dyDescent="0.2">
      <c r="A291" s="127">
        <f t="shared" si="57"/>
        <v>244</v>
      </c>
      <c r="B291" s="112">
        <f t="shared" si="57"/>
        <v>3</v>
      </c>
      <c r="C291" s="116" t="s">
        <v>510</v>
      </c>
      <c r="D291" s="227" t="s">
        <v>511</v>
      </c>
      <c r="E291" s="116" t="s">
        <v>90</v>
      </c>
      <c r="F291" s="118">
        <f>39623580/3.344</f>
        <v>11849156.698564595</v>
      </c>
      <c r="G291" s="160"/>
      <c r="H291" s="120"/>
      <c r="I291" s="179"/>
      <c r="J291" s="74">
        <f t="shared" si="55"/>
        <v>11849156.698564595</v>
      </c>
      <c r="K291" s="17">
        <f t="shared" si="56"/>
        <v>0</v>
      </c>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12"/>
      <c r="CX291" s="12"/>
      <c r="CY291" s="12"/>
      <c r="CZ291" s="12"/>
      <c r="DA291" s="12"/>
      <c r="DB291" s="12"/>
      <c r="DC291" s="12"/>
      <c r="DD291" s="12"/>
      <c r="DE291" s="12"/>
      <c r="DF291" s="12"/>
      <c r="DG291" s="12"/>
    </row>
    <row r="292" spans="1:111" s="12" customFormat="1" ht="15.95" customHeight="1" x14ac:dyDescent="0.2">
      <c r="A292" s="127">
        <f t="shared" si="57"/>
        <v>245</v>
      </c>
      <c r="B292" s="112">
        <f t="shared" si="57"/>
        <v>4</v>
      </c>
      <c r="C292" s="116" t="s">
        <v>512</v>
      </c>
      <c r="D292" s="227" t="s">
        <v>513</v>
      </c>
      <c r="E292" s="116" t="s">
        <v>84</v>
      </c>
      <c r="F292" s="118"/>
      <c r="G292" s="160"/>
      <c r="H292" s="120">
        <v>1200000</v>
      </c>
      <c r="I292" s="179"/>
      <c r="J292" s="74">
        <f t="shared" si="55"/>
        <v>0</v>
      </c>
      <c r="K292" s="17">
        <f t="shared" si="56"/>
        <v>1200000</v>
      </c>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row>
    <row r="293" spans="1:111" s="12" customFormat="1" ht="15.95" customHeight="1" x14ac:dyDescent="0.2">
      <c r="A293" s="127">
        <f t="shared" si="57"/>
        <v>246</v>
      </c>
      <c r="B293" s="112">
        <f t="shared" si="57"/>
        <v>5</v>
      </c>
      <c r="C293" s="116" t="s">
        <v>514</v>
      </c>
      <c r="D293" s="227" t="s">
        <v>515</v>
      </c>
      <c r="E293" s="116" t="s">
        <v>68</v>
      </c>
      <c r="F293" s="118">
        <f>493725604*0.4/3.265</f>
        <v>60487057.151607968</v>
      </c>
      <c r="G293" s="160"/>
      <c r="H293" s="120">
        <v>100000000</v>
      </c>
      <c r="I293" s="179"/>
      <c r="J293" s="74">
        <f t="shared" si="55"/>
        <v>60487057.151607968</v>
      </c>
      <c r="K293" s="17">
        <f t="shared" si="56"/>
        <v>100000000</v>
      </c>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row>
    <row r="294" spans="1:111" s="12" customFormat="1" ht="15.95" customHeight="1" x14ac:dyDescent="0.2">
      <c r="A294" s="127">
        <f t="shared" si="57"/>
        <v>247</v>
      </c>
      <c r="B294" s="112">
        <f t="shared" si="57"/>
        <v>6</v>
      </c>
      <c r="C294" s="116" t="s">
        <v>516</v>
      </c>
      <c r="D294" s="227" t="s">
        <v>505</v>
      </c>
      <c r="E294" s="116" t="s">
        <v>97</v>
      </c>
      <c r="F294" s="118">
        <v>899093</v>
      </c>
      <c r="G294" s="160"/>
      <c r="H294" s="120"/>
      <c r="I294" s="179"/>
      <c r="J294" s="74">
        <f t="shared" si="55"/>
        <v>899093</v>
      </c>
      <c r="K294" s="17">
        <f t="shared" si="56"/>
        <v>0</v>
      </c>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row>
    <row r="295" spans="1:111" s="12" customFormat="1" ht="15.95" customHeight="1" x14ac:dyDescent="0.2">
      <c r="A295" s="127">
        <f t="shared" si="57"/>
        <v>248</v>
      </c>
      <c r="B295" s="112">
        <f t="shared" si="57"/>
        <v>7</v>
      </c>
      <c r="C295" s="116" t="s">
        <v>517</v>
      </c>
      <c r="D295" s="227" t="s">
        <v>518</v>
      </c>
      <c r="E295" s="116" t="s">
        <v>104</v>
      </c>
      <c r="F295" s="118">
        <v>17700000</v>
      </c>
      <c r="G295" s="160"/>
      <c r="H295" s="120"/>
      <c r="I295" s="179"/>
      <c r="J295" s="74">
        <f t="shared" si="55"/>
        <v>17700000</v>
      </c>
      <c r="K295" s="17">
        <f t="shared" si="56"/>
        <v>0</v>
      </c>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row>
    <row r="296" spans="1:111" s="12" customFormat="1" ht="15.95" customHeight="1" x14ac:dyDescent="0.2">
      <c r="A296" s="129">
        <f t="shared" si="57"/>
        <v>249</v>
      </c>
      <c r="B296" s="130">
        <f t="shared" si="57"/>
        <v>8</v>
      </c>
      <c r="C296" s="131" t="s">
        <v>519</v>
      </c>
      <c r="D296" s="229" t="s">
        <v>520</v>
      </c>
      <c r="E296" s="131" t="s">
        <v>104</v>
      </c>
      <c r="F296" s="132">
        <f>49433625.78/3.251</f>
        <v>15205667.726853278</v>
      </c>
      <c r="G296" s="162"/>
      <c r="H296" s="133"/>
      <c r="I296" s="184"/>
      <c r="J296" s="74">
        <f t="shared" si="55"/>
        <v>15205667.726853278</v>
      </c>
      <c r="K296" s="17">
        <f t="shared" si="56"/>
        <v>0</v>
      </c>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row>
    <row r="297" spans="1:111" s="12" customFormat="1" ht="15.95" customHeight="1" x14ac:dyDescent="0.2">
      <c r="A297" s="16" t="s">
        <v>521</v>
      </c>
      <c r="B297" s="48"/>
      <c r="C297" s="68"/>
      <c r="D297" s="228"/>
      <c r="E297" s="68"/>
      <c r="F297" s="108">
        <f>SUM(F289:F296)</f>
        <v>108449405.0446413</v>
      </c>
      <c r="G297" s="163"/>
      <c r="H297" s="109">
        <f>SUM(H289:H296)</f>
        <v>101200000</v>
      </c>
      <c r="I297" s="178"/>
      <c r="J297" s="74"/>
      <c r="K297" s="17"/>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row>
    <row r="298" spans="1:111" s="12" customFormat="1" ht="15.95" customHeight="1" x14ac:dyDescent="0.2">
      <c r="A298" s="257">
        <v>2007</v>
      </c>
      <c r="B298" s="258"/>
      <c r="C298" s="258"/>
      <c r="D298" s="258"/>
      <c r="E298" s="258"/>
      <c r="F298" s="258"/>
      <c r="G298" s="258"/>
      <c r="H298" s="258"/>
      <c r="I298" s="259"/>
      <c r="J298" s="74">
        <f t="shared" ref="J298:J304" si="58">+F298</f>
        <v>0</v>
      </c>
      <c r="K298" s="17">
        <f t="shared" ref="K298:K304" si="59">+H298</f>
        <v>0</v>
      </c>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row>
    <row r="299" spans="1:111" s="12" customFormat="1" ht="15.95" customHeight="1" x14ac:dyDescent="0.2">
      <c r="A299" s="127">
        <f>+A296+1</f>
        <v>250</v>
      </c>
      <c r="B299" s="112">
        <v>1</v>
      </c>
      <c r="C299" s="116" t="s">
        <v>522</v>
      </c>
      <c r="D299" s="227" t="s">
        <v>505</v>
      </c>
      <c r="E299" s="116" t="s">
        <v>97</v>
      </c>
      <c r="F299" s="118">
        <v>17076525</v>
      </c>
      <c r="G299" s="160"/>
      <c r="H299" s="120"/>
      <c r="I299" s="179"/>
      <c r="J299" s="74">
        <f t="shared" si="58"/>
        <v>17076525</v>
      </c>
      <c r="K299" s="17">
        <f t="shared" si="59"/>
        <v>0</v>
      </c>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row>
    <row r="300" spans="1:111" s="12" customFormat="1" ht="15.95" customHeight="1" x14ac:dyDescent="0.2">
      <c r="A300" s="127">
        <f t="shared" ref="A300:B304" si="60">+A299+1</f>
        <v>251</v>
      </c>
      <c r="B300" s="112">
        <f t="shared" si="60"/>
        <v>2</v>
      </c>
      <c r="C300" s="116" t="s">
        <v>523</v>
      </c>
      <c r="D300" s="227" t="s">
        <v>524</v>
      </c>
      <c r="E300" s="116" t="s">
        <v>137</v>
      </c>
      <c r="F300" s="118">
        <v>44980.3</v>
      </c>
      <c r="G300" s="160"/>
      <c r="H300" s="120">
        <v>984375</v>
      </c>
      <c r="I300" s="179"/>
      <c r="J300" s="74">
        <f t="shared" si="58"/>
        <v>44980.3</v>
      </c>
      <c r="K300" s="17">
        <f t="shared" si="59"/>
        <v>984375</v>
      </c>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row>
    <row r="301" spans="1:111" s="12" customFormat="1" ht="15.95" customHeight="1" x14ac:dyDescent="0.2">
      <c r="A301" s="127">
        <f t="shared" si="60"/>
        <v>252</v>
      </c>
      <c r="B301" s="112">
        <f t="shared" si="60"/>
        <v>3</v>
      </c>
      <c r="C301" s="116" t="s">
        <v>525</v>
      </c>
      <c r="D301" s="227" t="s">
        <v>526</v>
      </c>
      <c r="E301" s="116" t="s">
        <v>527</v>
      </c>
      <c r="F301" s="118">
        <v>412000000</v>
      </c>
      <c r="G301" s="160"/>
      <c r="H301" s="120">
        <v>2500000000</v>
      </c>
      <c r="I301" s="179"/>
      <c r="J301" s="74">
        <f t="shared" si="58"/>
        <v>412000000</v>
      </c>
      <c r="K301" s="17">
        <f t="shared" si="59"/>
        <v>2500000000</v>
      </c>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row>
    <row r="302" spans="1:111" s="12" customFormat="1" ht="15.95" customHeight="1" x14ac:dyDescent="0.2">
      <c r="A302" s="127">
        <f t="shared" si="60"/>
        <v>253</v>
      </c>
      <c r="B302" s="112">
        <f t="shared" si="60"/>
        <v>4</v>
      </c>
      <c r="C302" s="116" t="s">
        <v>528</v>
      </c>
      <c r="D302" s="227" t="s">
        <v>529</v>
      </c>
      <c r="E302" s="116" t="s">
        <v>137</v>
      </c>
      <c r="F302" s="118"/>
      <c r="G302" s="160"/>
      <c r="H302" s="120">
        <v>6700000</v>
      </c>
      <c r="I302" s="179"/>
      <c r="J302" s="74">
        <f t="shared" si="58"/>
        <v>0</v>
      </c>
      <c r="K302" s="17">
        <f t="shared" si="59"/>
        <v>6700000</v>
      </c>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row>
    <row r="303" spans="1:111" s="12" customFormat="1" ht="15.95" customHeight="1" x14ac:dyDescent="0.2">
      <c r="A303" s="127">
        <f t="shared" si="60"/>
        <v>254</v>
      </c>
      <c r="B303" s="112">
        <f t="shared" si="60"/>
        <v>5</v>
      </c>
      <c r="C303" s="116" t="s">
        <v>530</v>
      </c>
      <c r="D303" s="227" t="s">
        <v>531</v>
      </c>
      <c r="E303" s="116" t="s">
        <v>68</v>
      </c>
      <c r="F303" s="118">
        <v>63750000</v>
      </c>
      <c r="G303" s="160"/>
      <c r="H303" s="120"/>
      <c r="I303" s="179"/>
      <c r="J303" s="74">
        <f t="shared" si="58"/>
        <v>63750000</v>
      </c>
      <c r="K303" s="17">
        <f t="shared" si="59"/>
        <v>0</v>
      </c>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row>
    <row r="304" spans="1:111" s="12" customFormat="1" ht="15.95" customHeight="1" x14ac:dyDescent="0.2">
      <c r="A304" s="129">
        <f t="shared" si="60"/>
        <v>255</v>
      </c>
      <c r="B304" s="130">
        <f t="shared" si="60"/>
        <v>6</v>
      </c>
      <c r="C304" s="131" t="s">
        <v>532</v>
      </c>
      <c r="D304" s="229" t="s">
        <v>533</v>
      </c>
      <c r="E304" s="131" t="s">
        <v>527</v>
      </c>
      <c r="F304" s="132">
        <v>460000</v>
      </c>
      <c r="G304" s="162"/>
      <c r="H304" s="133"/>
      <c r="I304" s="184"/>
      <c r="J304" s="74">
        <f t="shared" si="58"/>
        <v>460000</v>
      </c>
      <c r="K304" s="17">
        <f t="shared" si="59"/>
        <v>0</v>
      </c>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row>
    <row r="305" spans="1:35" s="12" customFormat="1" ht="15.95" customHeight="1" x14ac:dyDescent="0.2">
      <c r="A305" s="16" t="s">
        <v>534</v>
      </c>
      <c r="B305" s="48"/>
      <c r="C305" s="138"/>
      <c r="D305" s="228"/>
      <c r="E305" s="68"/>
      <c r="F305" s="134">
        <f>SUM(F299:F304)</f>
        <v>493331505.30000001</v>
      </c>
      <c r="G305" s="164"/>
      <c r="H305" s="134">
        <f>SUM(H299:H304)</f>
        <v>2507684375</v>
      </c>
      <c r="I305" s="185"/>
      <c r="J305" s="74"/>
      <c r="K305" s="17"/>
      <c r="L305" s="33"/>
      <c r="M305" s="33"/>
      <c r="N305" s="33"/>
      <c r="O305" s="33"/>
      <c r="P305" s="33"/>
      <c r="Q305" s="33"/>
      <c r="R305" s="33"/>
      <c r="S305" s="34"/>
      <c r="T305" s="34"/>
      <c r="U305" s="34"/>
      <c r="V305" s="34"/>
      <c r="W305" s="34"/>
      <c r="X305" s="34"/>
      <c r="Y305" s="34"/>
      <c r="Z305" s="34"/>
      <c r="AA305" s="34"/>
      <c r="AB305" s="34"/>
      <c r="AC305" s="34"/>
      <c r="AD305" s="34"/>
      <c r="AE305" s="34"/>
      <c r="AF305" s="34"/>
      <c r="AG305" s="34"/>
      <c r="AH305" s="34"/>
      <c r="AI305" s="34"/>
    </row>
    <row r="306" spans="1:35" s="12" customFormat="1" ht="15.95" customHeight="1" x14ac:dyDescent="0.2">
      <c r="A306" s="257">
        <v>2008</v>
      </c>
      <c r="B306" s="258"/>
      <c r="C306" s="258"/>
      <c r="D306" s="258"/>
      <c r="E306" s="258"/>
      <c r="F306" s="258"/>
      <c r="G306" s="258"/>
      <c r="H306" s="258"/>
      <c r="I306" s="259"/>
      <c r="J306" s="74">
        <f>+F306</f>
        <v>0</v>
      </c>
      <c r="K306" s="17">
        <f>+H306</f>
        <v>0</v>
      </c>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row>
    <row r="307" spans="1:35" s="12" customFormat="1" ht="15.95" customHeight="1" x14ac:dyDescent="0.2">
      <c r="A307" s="127">
        <f>+A304+1</f>
        <v>256</v>
      </c>
      <c r="B307" s="112">
        <v>1</v>
      </c>
      <c r="C307" s="116" t="s">
        <v>535</v>
      </c>
      <c r="D307" s="227" t="s">
        <v>505</v>
      </c>
      <c r="E307" s="116" t="s">
        <v>97</v>
      </c>
      <c r="F307" s="118">
        <v>1094285.83</v>
      </c>
      <c r="G307" s="160"/>
      <c r="H307" s="120"/>
      <c r="I307" s="179"/>
      <c r="J307" s="74">
        <f>+F307</f>
        <v>1094285.83</v>
      </c>
      <c r="K307" s="17">
        <f>+H307</f>
        <v>0</v>
      </c>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row>
    <row r="308" spans="1:35" s="12" customFormat="1" ht="15.95" customHeight="1" x14ac:dyDescent="0.2">
      <c r="A308" s="127">
        <f>A307+1</f>
        <v>257</v>
      </c>
      <c r="B308" s="112">
        <v>2</v>
      </c>
      <c r="C308" s="116" t="s">
        <v>536</v>
      </c>
      <c r="D308" s="227" t="s">
        <v>537</v>
      </c>
      <c r="E308" s="116" t="s">
        <v>14</v>
      </c>
      <c r="F308" s="118">
        <v>2000000</v>
      </c>
      <c r="G308" s="160"/>
      <c r="H308" s="120">
        <v>2152269000</v>
      </c>
      <c r="I308" s="179"/>
      <c r="J308" s="74"/>
      <c r="K308" s="17"/>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row>
    <row r="309" spans="1:35" s="12" customFormat="1" ht="15.95" customHeight="1" x14ac:dyDescent="0.2">
      <c r="A309" s="129">
        <f>A308+1</f>
        <v>258</v>
      </c>
      <c r="B309" s="130">
        <v>3</v>
      </c>
      <c r="C309" s="131" t="s">
        <v>538</v>
      </c>
      <c r="D309" s="229" t="s">
        <v>539</v>
      </c>
      <c r="E309" s="131" t="s">
        <v>104</v>
      </c>
      <c r="F309" s="132">
        <f>134002401/3.104</f>
        <v>43170876.610824741</v>
      </c>
      <c r="G309" s="162"/>
      <c r="H309" s="133"/>
      <c r="I309" s="184"/>
      <c r="J309" s="74"/>
      <c r="K309" s="17"/>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row>
    <row r="310" spans="1:35" s="12" customFormat="1" ht="15.95" customHeight="1" x14ac:dyDescent="0.2">
      <c r="A310" s="16" t="s">
        <v>540</v>
      </c>
      <c r="B310" s="48"/>
      <c r="C310" s="138"/>
      <c r="D310" s="228"/>
      <c r="E310" s="68"/>
      <c r="F310" s="134">
        <f>SUM(F307:F309)</f>
        <v>46265162.44082474</v>
      </c>
      <c r="G310" s="164"/>
      <c r="H310" s="134">
        <f>SUM(H307:H309)</f>
        <v>2152269000</v>
      </c>
      <c r="I310" s="185"/>
      <c r="J310" s="74"/>
      <c r="K310" s="17"/>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row>
    <row r="311" spans="1:35" s="12" customFormat="1" ht="15.95" customHeight="1" x14ac:dyDescent="0.2">
      <c r="A311" s="257">
        <v>2009</v>
      </c>
      <c r="B311" s="258"/>
      <c r="C311" s="258"/>
      <c r="D311" s="258"/>
      <c r="E311" s="258"/>
      <c r="F311" s="258"/>
      <c r="G311" s="258"/>
      <c r="H311" s="258"/>
      <c r="I311" s="259"/>
      <c r="J311" s="74"/>
      <c r="K311" s="17"/>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row>
    <row r="312" spans="1:35" s="12" customFormat="1" ht="15.95" customHeight="1" x14ac:dyDescent="0.2">
      <c r="A312" s="139">
        <f>+A309+1</f>
        <v>259</v>
      </c>
      <c r="B312" s="140">
        <v>1</v>
      </c>
      <c r="C312" s="1" t="s">
        <v>541</v>
      </c>
      <c r="D312" s="231" t="s">
        <v>505</v>
      </c>
      <c r="E312" s="1" t="s">
        <v>97</v>
      </c>
      <c r="F312" s="28">
        <v>850000</v>
      </c>
      <c r="G312" s="165"/>
      <c r="H312" s="4"/>
      <c r="I312" s="186"/>
      <c r="J312" s="74"/>
      <c r="K312" s="17"/>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row>
    <row r="313" spans="1:35" s="12" customFormat="1" ht="15.95" customHeight="1" x14ac:dyDescent="0.2">
      <c r="A313" s="16" t="s">
        <v>542</v>
      </c>
      <c r="B313" s="48"/>
      <c r="C313" s="138"/>
      <c r="D313" s="228"/>
      <c r="E313" s="68"/>
      <c r="F313" s="134">
        <f>SUM(F312)</f>
        <v>850000</v>
      </c>
      <c r="G313" s="164"/>
      <c r="H313" s="134"/>
      <c r="I313" s="185"/>
      <c r="J313" s="74"/>
      <c r="K313" s="17"/>
      <c r="L313" s="33"/>
      <c r="M313" s="33"/>
      <c r="N313" s="33"/>
      <c r="O313" s="33"/>
      <c r="P313" s="33"/>
      <c r="Q313" s="33"/>
      <c r="R313" s="33"/>
      <c r="S313" s="34"/>
      <c r="T313" s="34"/>
      <c r="U313" s="34"/>
      <c r="V313" s="34"/>
      <c r="W313" s="34"/>
      <c r="X313" s="34"/>
      <c r="Y313" s="34"/>
      <c r="Z313" s="34"/>
      <c r="AA313" s="34"/>
      <c r="AB313" s="34"/>
      <c r="AC313" s="34"/>
      <c r="AD313" s="34"/>
      <c r="AE313" s="34"/>
      <c r="AF313" s="34"/>
      <c r="AG313" s="34"/>
      <c r="AH313" s="34"/>
      <c r="AI313" s="34"/>
    </row>
    <row r="314" spans="1:35" s="12" customFormat="1" ht="15.95" customHeight="1" x14ac:dyDescent="0.2">
      <c r="A314" s="257">
        <v>2010</v>
      </c>
      <c r="B314" s="258"/>
      <c r="C314" s="258"/>
      <c r="D314" s="258"/>
      <c r="E314" s="258"/>
      <c r="F314" s="258"/>
      <c r="G314" s="258"/>
      <c r="H314" s="258"/>
      <c r="I314" s="259"/>
      <c r="J314" s="74"/>
      <c r="K314" s="17"/>
      <c r="L314" s="33"/>
      <c r="M314" s="33"/>
      <c r="N314" s="33"/>
      <c r="O314" s="33"/>
      <c r="P314" s="33"/>
      <c r="Q314" s="33"/>
      <c r="R314" s="33"/>
      <c r="S314" s="34"/>
      <c r="T314" s="34"/>
      <c r="U314" s="34"/>
      <c r="V314" s="34"/>
      <c r="W314" s="34"/>
      <c r="X314" s="34"/>
      <c r="Y314" s="34"/>
      <c r="Z314" s="34"/>
      <c r="AA314" s="34"/>
      <c r="AB314" s="34"/>
      <c r="AC314" s="34"/>
      <c r="AD314" s="34"/>
      <c r="AE314" s="34"/>
      <c r="AF314" s="34"/>
      <c r="AG314" s="34"/>
      <c r="AH314" s="34"/>
      <c r="AI314" s="34"/>
    </row>
    <row r="315" spans="1:35" s="12" customFormat="1" ht="15.95" customHeight="1" x14ac:dyDescent="0.2">
      <c r="A315" s="127">
        <f>+A312+1</f>
        <v>260</v>
      </c>
      <c r="B315" s="112">
        <v>1</v>
      </c>
      <c r="C315" s="116" t="s">
        <v>543</v>
      </c>
      <c r="D315" s="227" t="s">
        <v>544</v>
      </c>
      <c r="E315" s="116" t="s">
        <v>545</v>
      </c>
      <c r="F315" s="118">
        <f>105612000/2.82</f>
        <v>37451063.829787239</v>
      </c>
      <c r="G315" s="160"/>
      <c r="H315" s="120">
        <v>300000000</v>
      </c>
      <c r="I315" s="179"/>
      <c r="J315" s="204" t="s">
        <v>546</v>
      </c>
      <c r="K315" s="17"/>
      <c r="L315" s="33"/>
      <c r="M315" s="33"/>
      <c r="N315" s="33"/>
      <c r="O315" s="33"/>
      <c r="P315" s="33"/>
      <c r="Q315" s="33"/>
      <c r="R315" s="33"/>
      <c r="S315" s="34"/>
      <c r="T315" s="34"/>
      <c r="U315" s="34"/>
      <c r="V315" s="34"/>
      <c r="W315" s="34"/>
      <c r="X315" s="34"/>
      <c r="Y315" s="34"/>
      <c r="Z315" s="34"/>
      <c r="AA315" s="34"/>
      <c r="AB315" s="34"/>
      <c r="AC315" s="34"/>
      <c r="AD315" s="34"/>
      <c r="AE315" s="34"/>
      <c r="AF315" s="34"/>
      <c r="AG315" s="34"/>
      <c r="AH315" s="34"/>
      <c r="AI315" s="34"/>
    </row>
    <row r="316" spans="1:35" s="12" customFormat="1" ht="15.95" customHeight="1" x14ac:dyDescent="0.2">
      <c r="A316" s="127">
        <f>A315+1</f>
        <v>261</v>
      </c>
      <c r="B316" s="112">
        <v>2</v>
      </c>
      <c r="C316" s="116" t="s">
        <v>547</v>
      </c>
      <c r="D316" s="227" t="s">
        <v>548</v>
      </c>
      <c r="E316" s="116" t="s">
        <v>14</v>
      </c>
      <c r="F316" s="118">
        <v>28500000</v>
      </c>
      <c r="G316" s="160" t="s">
        <v>549</v>
      </c>
      <c r="H316" s="120">
        <v>4170623000</v>
      </c>
      <c r="I316" s="179"/>
      <c r="J316" s="204"/>
      <c r="K316" s="17"/>
      <c r="L316" s="33"/>
      <c r="M316" s="33"/>
      <c r="N316" s="33"/>
      <c r="O316" s="33"/>
      <c r="P316" s="33"/>
      <c r="Q316" s="33"/>
      <c r="R316" s="33"/>
      <c r="S316" s="34"/>
      <c r="T316" s="34"/>
      <c r="U316" s="34"/>
      <c r="V316" s="34"/>
      <c r="W316" s="34"/>
      <c r="X316" s="34"/>
      <c r="Y316" s="34"/>
      <c r="Z316" s="34"/>
      <c r="AA316" s="34"/>
      <c r="AB316" s="34"/>
      <c r="AC316" s="34"/>
      <c r="AD316" s="34"/>
      <c r="AE316" s="34"/>
      <c r="AF316" s="34"/>
      <c r="AG316" s="34"/>
      <c r="AH316" s="34"/>
      <c r="AI316" s="34"/>
    </row>
    <row r="317" spans="1:35" s="12" customFormat="1" ht="15.95" customHeight="1" x14ac:dyDescent="0.2">
      <c r="A317" s="129">
        <f>A316+1</f>
        <v>262</v>
      </c>
      <c r="B317" s="130">
        <v>3</v>
      </c>
      <c r="C317" s="131" t="s">
        <v>550</v>
      </c>
      <c r="D317" s="229" t="s">
        <v>551</v>
      </c>
      <c r="E317" s="131" t="s">
        <v>552</v>
      </c>
      <c r="F317" s="132">
        <v>112000000</v>
      </c>
      <c r="G317" s="162"/>
      <c r="H317" s="133"/>
      <c r="I317" s="184"/>
      <c r="J317" s="204"/>
      <c r="K317" s="17"/>
      <c r="L317" s="33"/>
      <c r="M317" s="33"/>
      <c r="N317" s="33"/>
      <c r="O317" s="33"/>
      <c r="P317" s="33"/>
      <c r="Q317" s="33"/>
      <c r="R317" s="33"/>
      <c r="S317" s="34"/>
      <c r="T317" s="34"/>
      <c r="U317" s="34"/>
      <c r="V317" s="34"/>
      <c r="W317" s="34"/>
      <c r="X317" s="34"/>
      <c r="Y317" s="34"/>
      <c r="Z317" s="34"/>
      <c r="AA317" s="34"/>
      <c r="AB317" s="34"/>
      <c r="AC317" s="34"/>
      <c r="AD317" s="34"/>
      <c r="AE317" s="34"/>
      <c r="AF317" s="34"/>
      <c r="AG317" s="34"/>
      <c r="AH317" s="34"/>
      <c r="AI317" s="34"/>
    </row>
    <row r="318" spans="1:35" s="12" customFormat="1" ht="15.95" customHeight="1" x14ac:dyDescent="0.2">
      <c r="A318" s="16" t="s">
        <v>553</v>
      </c>
      <c r="B318" s="48"/>
      <c r="C318" s="138"/>
      <c r="D318" s="228"/>
      <c r="E318" s="68"/>
      <c r="F318" s="134">
        <f>SUM(F315:F317)</f>
        <v>177951063.82978725</v>
      </c>
      <c r="G318" s="164"/>
      <c r="H318" s="134">
        <f>H315+H316</f>
        <v>4470623000</v>
      </c>
      <c r="I318" s="185"/>
      <c r="J318" s="74"/>
      <c r="K318" s="17"/>
      <c r="L318" s="33"/>
      <c r="M318" s="33"/>
      <c r="N318" s="33"/>
      <c r="O318" s="33"/>
      <c r="P318" s="33"/>
      <c r="Q318" s="33"/>
      <c r="R318" s="33"/>
      <c r="S318" s="34"/>
      <c r="T318" s="34"/>
      <c r="U318" s="34"/>
      <c r="V318" s="34"/>
      <c r="W318" s="34"/>
      <c r="X318" s="34"/>
      <c r="Y318" s="34"/>
      <c r="Z318" s="34"/>
      <c r="AA318" s="34"/>
      <c r="AB318" s="34"/>
      <c r="AC318" s="34"/>
      <c r="AD318" s="34"/>
      <c r="AE318" s="34"/>
      <c r="AF318" s="34"/>
      <c r="AG318" s="34"/>
      <c r="AH318" s="34"/>
      <c r="AI318" s="34"/>
    </row>
    <row r="319" spans="1:35" s="12" customFormat="1" ht="15.95" customHeight="1" x14ac:dyDescent="0.2">
      <c r="A319" s="257">
        <v>2011</v>
      </c>
      <c r="B319" s="258"/>
      <c r="C319" s="258"/>
      <c r="D319" s="258"/>
      <c r="E319" s="258"/>
      <c r="F319" s="258"/>
      <c r="G319" s="258"/>
      <c r="H319" s="258"/>
      <c r="I319" s="259"/>
      <c r="J319" s="74"/>
      <c r="K319" s="17"/>
      <c r="L319" s="33"/>
      <c r="M319" s="33"/>
      <c r="N319" s="33"/>
      <c r="O319" s="33"/>
      <c r="P319" s="33"/>
      <c r="Q319" s="33"/>
      <c r="R319" s="33"/>
      <c r="S319" s="34"/>
      <c r="T319" s="34"/>
      <c r="U319" s="34"/>
      <c r="V319" s="34"/>
      <c r="W319" s="34"/>
      <c r="X319" s="34"/>
      <c r="Y319" s="34"/>
      <c r="Z319" s="34"/>
      <c r="AA319" s="34"/>
      <c r="AB319" s="34"/>
      <c r="AC319" s="34"/>
      <c r="AD319" s="34"/>
      <c r="AE319" s="34"/>
      <c r="AF319" s="34"/>
      <c r="AG319" s="34"/>
      <c r="AH319" s="34"/>
      <c r="AI319" s="34"/>
    </row>
    <row r="320" spans="1:35" s="12" customFormat="1" ht="15.95" customHeight="1" x14ac:dyDescent="0.2">
      <c r="A320" s="127">
        <f>A317+1</f>
        <v>263</v>
      </c>
      <c r="B320" s="112">
        <v>1</v>
      </c>
      <c r="C320" s="116" t="s">
        <v>554</v>
      </c>
      <c r="D320" s="227" t="s">
        <v>555</v>
      </c>
      <c r="E320" s="116" t="s">
        <v>137</v>
      </c>
      <c r="F320" s="118">
        <v>3657333</v>
      </c>
      <c r="G320" s="160"/>
      <c r="H320" s="120">
        <v>20000000</v>
      </c>
      <c r="I320" s="179"/>
      <c r="J320" s="74"/>
      <c r="K320" s="17"/>
      <c r="L320" s="33"/>
      <c r="M320" s="33"/>
      <c r="N320" s="33"/>
      <c r="O320" s="33"/>
      <c r="P320" s="33"/>
      <c r="Q320" s="33"/>
      <c r="R320" s="33"/>
      <c r="S320" s="34"/>
      <c r="T320" s="34"/>
      <c r="U320" s="34"/>
      <c r="V320" s="34"/>
      <c r="W320" s="34"/>
      <c r="X320" s="34"/>
      <c r="Y320" s="34"/>
      <c r="Z320" s="34"/>
      <c r="AA320" s="34"/>
      <c r="AB320" s="34"/>
      <c r="AC320" s="34"/>
      <c r="AD320" s="34"/>
      <c r="AE320" s="34"/>
      <c r="AF320" s="34"/>
      <c r="AG320" s="34"/>
      <c r="AH320" s="34"/>
      <c r="AI320" s="34"/>
    </row>
    <row r="321" spans="1:112" s="53" customFormat="1" ht="15.95" customHeight="1" x14ac:dyDescent="0.2">
      <c r="A321" s="127">
        <f>A320+1</f>
        <v>264</v>
      </c>
      <c r="B321" s="112">
        <v>2</v>
      </c>
      <c r="C321" s="116" t="s">
        <v>556</v>
      </c>
      <c r="D321" s="227" t="s">
        <v>557</v>
      </c>
      <c r="E321" s="116" t="s">
        <v>545</v>
      </c>
      <c r="F321" s="118">
        <v>1115000</v>
      </c>
      <c r="G321" s="160"/>
      <c r="H321" s="120"/>
      <c r="I321" s="179"/>
      <c r="J321" s="74"/>
      <c r="K321" s="17"/>
      <c r="L321" s="33"/>
      <c r="M321" s="33"/>
      <c r="N321" s="33"/>
      <c r="O321" s="33"/>
      <c r="P321" s="33"/>
      <c r="Q321" s="33"/>
      <c r="R321" s="33"/>
      <c r="S321" s="34"/>
      <c r="T321" s="34"/>
      <c r="U321" s="34"/>
      <c r="V321" s="34"/>
      <c r="W321" s="34"/>
      <c r="X321" s="34"/>
      <c r="Y321" s="34"/>
      <c r="Z321" s="34"/>
      <c r="AA321" s="34"/>
      <c r="AB321" s="34"/>
      <c r="AC321" s="34"/>
      <c r="AD321" s="34"/>
      <c r="AE321" s="34"/>
      <c r="AF321" s="34"/>
      <c r="AG321" s="34"/>
      <c r="AH321" s="34"/>
      <c r="AI321" s="34"/>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c r="CE321" s="12"/>
      <c r="CF321" s="12"/>
      <c r="CG321" s="12"/>
      <c r="CH321" s="12"/>
      <c r="CI321" s="12"/>
      <c r="CJ321" s="12"/>
      <c r="CK321" s="12"/>
      <c r="CL321" s="12"/>
      <c r="CM321" s="12"/>
      <c r="CN321" s="12"/>
      <c r="CO321" s="12"/>
      <c r="CP321" s="12"/>
      <c r="CQ321" s="12"/>
      <c r="CR321" s="12"/>
      <c r="CS321" s="12"/>
      <c r="CT321" s="12"/>
      <c r="CU321" s="12"/>
      <c r="CV321" s="12"/>
      <c r="CW321" s="12"/>
      <c r="CX321" s="12"/>
      <c r="CY321" s="12"/>
      <c r="CZ321" s="12"/>
      <c r="DA321" s="12"/>
      <c r="DB321" s="12"/>
      <c r="DC321" s="12"/>
      <c r="DD321" s="12"/>
      <c r="DE321" s="12"/>
      <c r="DF321" s="12"/>
      <c r="DG321" s="12"/>
      <c r="DH321" s="5"/>
    </row>
    <row r="322" spans="1:112" s="53" customFormat="1" ht="15.95" customHeight="1" x14ac:dyDescent="0.2">
      <c r="A322" s="127">
        <v>263</v>
      </c>
      <c r="B322" s="112">
        <v>3</v>
      </c>
      <c r="C322" s="116" t="s">
        <v>558</v>
      </c>
      <c r="D322" s="227" t="s">
        <v>559</v>
      </c>
      <c r="E322" s="116" t="s">
        <v>552</v>
      </c>
      <c r="F322" s="118">
        <f>2067012.59/2.75</f>
        <v>751640.94181818189</v>
      </c>
      <c r="G322" s="160"/>
      <c r="H322" s="120"/>
      <c r="I322" s="179"/>
      <c r="J322" s="74"/>
      <c r="K322" s="17"/>
      <c r="L322" s="33"/>
      <c r="M322" s="33"/>
      <c r="N322" s="33"/>
      <c r="O322" s="33"/>
      <c r="P322" s="33"/>
      <c r="Q322" s="33"/>
      <c r="R322" s="33"/>
      <c r="S322" s="34"/>
      <c r="T322" s="34"/>
      <c r="U322" s="34"/>
      <c r="V322" s="34"/>
      <c r="W322" s="34"/>
      <c r="X322" s="34"/>
      <c r="Y322" s="34"/>
      <c r="Z322" s="34"/>
      <c r="AA322" s="34"/>
      <c r="AB322" s="34"/>
      <c r="AC322" s="34"/>
      <c r="AD322" s="34"/>
      <c r="AE322" s="34"/>
      <c r="AF322" s="34"/>
      <c r="AG322" s="34"/>
      <c r="AH322" s="34"/>
      <c r="AI322" s="34"/>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c r="CE322" s="12"/>
      <c r="CF322" s="12"/>
      <c r="CG322" s="12"/>
      <c r="CH322" s="12"/>
      <c r="CI322" s="12"/>
      <c r="CJ322" s="12"/>
      <c r="CK322" s="12"/>
      <c r="CL322" s="12"/>
      <c r="CM322" s="12"/>
      <c r="CN322" s="12"/>
      <c r="CO322" s="12"/>
      <c r="CP322" s="12"/>
      <c r="CQ322" s="12"/>
      <c r="CR322" s="12"/>
      <c r="CS322" s="12"/>
      <c r="CT322" s="12"/>
      <c r="CU322" s="12"/>
      <c r="CV322" s="12"/>
      <c r="CW322" s="12"/>
      <c r="CX322" s="12"/>
      <c r="CY322" s="12"/>
      <c r="CZ322" s="12"/>
      <c r="DA322" s="12"/>
      <c r="DB322" s="12"/>
      <c r="DC322" s="12"/>
      <c r="DD322" s="12"/>
      <c r="DE322" s="12"/>
      <c r="DF322" s="12"/>
      <c r="DG322" s="12"/>
      <c r="DH322" s="5"/>
    </row>
    <row r="323" spans="1:112" s="53" customFormat="1" ht="15.95" customHeight="1" x14ac:dyDescent="0.2">
      <c r="A323" s="129">
        <v>264</v>
      </c>
      <c r="B323" s="130">
        <v>4</v>
      </c>
      <c r="C323" s="131" t="s">
        <v>560</v>
      </c>
      <c r="D323" s="229" t="s">
        <v>561</v>
      </c>
      <c r="E323" s="131" t="s">
        <v>545</v>
      </c>
      <c r="F323" s="132">
        <v>1945000</v>
      </c>
      <c r="G323" s="162"/>
      <c r="H323" s="133"/>
      <c r="I323" s="184"/>
      <c r="J323" s="74"/>
      <c r="K323" s="17"/>
      <c r="L323" s="33"/>
      <c r="M323" s="33"/>
      <c r="N323" s="33"/>
      <c r="O323" s="33"/>
      <c r="P323" s="33"/>
      <c r="Q323" s="33"/>
      <c r="R323" s="33"/>
      <c r="S323" s="34"/>
      <c r="T323" s="34"/>
      <c r="U323" s="34"/>
      <c r="V323" s="34"/>
      <c r="W323" s="34"/>
      <c r="X323" s="34"/>
      <c r="Y323" s="34"/>
      <c r="Z323" s="34"/>
      <c r="AA323" s="34"/>
      <c r="AB323" s="34"/>
      <c r="AC323" s="34"/>
      <c r="AD323" s="34"/>
      <c r="AE323" s="34"/>
      <c r="AF323" s="34"/>
      <c r="AG323" s="34"/>
      <c r="AH323" s="34"/>
      <c r="AI323" s="34"/>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c r="CE323" s="12"/>
      <c r="CF323" s="12"/>
      <c r="CG323" s="12"/>
      <c r="CH323" s="12"/>
      <c r="CI323" s="12"/>
      <c r="CJ323" s="12"/>
      <c r="CK323" s="12"/>
      <c r="CL323" s="12"/>
      <c r="CM323" s="12"/>
      <c r="CN323" s="12"/>
      <c r="CO323" s="12"/>
      <c r="CP323" s="12"/>
      <c r="CQ323" s="12"/>
      <c r="CR323" s="12"/>
      <c r="CS323" s="12"/>
      <c r="CT323" s="12"/>
      <c r="CU323" s="12"/>
      <c r="CV323" s="12"/>
      <c r="CW323" s="12"/>
      <c r="CX323" s="12"/>
      <c r="CY323" s="12"/>
      <c r="CZ323" s="12"/>
      <c r="DA323" s="12"/>
      <c r="DB323" s="12"/>
      <c r="DC323" s="12"/>
      <c r="DD323" s="12"/>
      <c r="DE323" s="12"/>
      <c r="DF323" s="12"/>
      <c r="DG323" s="12"/>
      <c r="DH323" s="5"/>
    </row>
    <row r="324" spans="1:112" s="12" customFormat="1" ht="15.95" customHeight="1" x14ac:dyDescent="0.2">
      <c r="A324" s="16" t="s">
        <v>562</v>
      </c>
      <c r="B324" s="48"/>
      <c r="C324" s="138"/>
      <c r="D324" s="228"/>
      <c r="E324" s="68"/>
      <c r="F324" s="134">
        <f>F320+F321+F322+F323</f>
        <v>7468973.9418181814</v>
      </c>
      <c r="G324" s="164"/>
      <c r="H324" s="134">
        <v>20000000</v>
      </c>
      <c r="I324" s="185"/>
      <c r="J324" s="74"/>
      <c r="K324" s="17"/>
      <c r="L324" s="33"/>
      <c r="M324" s="33"/>
      <c r="N324" s="33"/>
      <c r="O324" s="33"/>
      <c r="P324" s="33"/>
      <c r="Q324" s="33"/>
      <c r="R324" s="33"/>
      <c r="S324" s="34"/>
      <c r="T324" s="34"/>
      <c r="U324" s="34"/>
      <c r="V324" s="34"/>
      <c r="W324" s="34"/>
      <c r="X324" s="34"/>
      <c r="Y324" s="34"/>
      <c r="Z324" s="34"/>
      <c r="AA324" s="34"/>
      <c r="AB324" s="34"/>
      <c r="AC324" s="34"/>
      <c r="AD324" s="34"/>
      <c r="AE324" s="34"/>
      <c r="AF324" s="34"/>
      <c r="AG324" s="34"/>
      <c r="AH324" s="34"/>
      <c r="AI324" s="34"/>
    </row>
    <row r="325" spans="1:112" s="12" customFormat="1" ht="15.95" customHeight="1" x14ac:dyDescent="0.2">
      <c r="A325" s="257">
        <v>2012</v>
      </c>
      <c r="B325" s="258"/>
      <c r="C325" s="258"/>
      <c r="D325" s="258"/>
      <c r="E325" s="258"/>
      <c r="F325" s="258"/>
      <c r="G325" s="258"/>
      <c r="H325" s="258"/>
      <c r="I325" s="259"/>
      <c r="J325" s="74"/>
      <c r="K325" s="17"/>
      <c r="L325" s="33"/>
      <c r="M325" s="33"/>
      <c r="N325" s="33"/>
      <c r="O325" s="33"/>
      <c r="P325" s="33"/>
      <c r="Q325" s="33"/>
      <c r="R325" s="33"/>
      <c r="S325" s="34"/>
      <c r="T325" s="34"/>
      <c r="U325" s="34"/>
      <c r="V325" s="34"/>
      <c r="W325" s="34"/>
      <c r="X325" s="34"/>
      <c r="Y325" s="34"/>
      <c r="Z325" s="34"/>
      <c r="AA325" s="34"/>
      <c r="AB325" s="34"/>
      <c r="AC325" s="34"/>
      <c r="AD325" s="34"/>
      <c r="AE325" s="34"/>
      <c r="AF325" s="34"/>
      <c r="AG325" s="34"/>
      <c r="AH325" s="34"/>
      <c r="AI325" s="34"/>
    </row>
    <row r="326" spans="1:112" s="53" customFormat="1" ht="15.95" customHeight="1" x14ac:dyDescent="0.2">
      <c r="A326" s="127">
        <f>A323+1</f>
        <v>265</v>
      </c>
      <c r="B326" s="112">
        <v>1</v>
      </c>
      <c r="C326" s="116" t="s">
        <v>563</v>
      </c>
      <c r="D326" s="227" t="s">
        <v>564</v>
      </c>
      <c r="E326" s="116" t="s">
        <v>552</v>
      </c>
      <c r="F326" s="118">
        <f>6500000/2.668</f>
        <v>2436281.8590704645</v>
      </c>
      <c r="G326" s="160"/>
      <c r="H326" s="120"/>
      <c r="I326" s="179"/>
      <c r="J326" s="74"/>
      <c r="K326" s="17"/>
      <c r="L326" s="33"/>
      <c r="M326" s="33"/>
      <c r="N326" s="33"/>
      <c r="O326" s="33"/>
      <c r="P326" s="33"/>
      <c r="Q326" s="33"/>
      <c r="R326" s="33"/>
      <c r="S326" s="34"/>
      <c r="T326" s="34"/>
      <c r="U326" s="34"/>
      <c r="V326" s="34"/>
      <c r="W326" s="34"/>
      <c r="X326" s="34"/>
      <c r="Y326" s="34"/>
      <c r="Z326" s="34"/>
      <c r="AA326" s="34"/>
      <c r="AB326" s="34"/>
      <c r="AC326" s="34"/>
      <c r="AD326" s="34"/>
      <c r="AE326" s="34"/>
      <c r="AF326" s="34"/>
      <c r="AG326" s="34"/>
      <c r="AH326" s="34"/>
      <c r="AI326" s="34"/>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c r="CP326" s="12"/>
      <c r="CQ326" s="12"/>
      <c r="CR326" s="12"/>
      <c r="CS326" s="12"/>
      <c r="CT326" s="12"/>
      <c r="CU326" s="12"/>
      <c r="CV326" s="12"/>
      <c r="CW326" s="12"/>
      <c r="CX326" s="12"/>
      <c r="CY326" s="12"/>
      <c r="CZ326" s="12"/>
      <c r="DA326" s="12"/>
      <c r="DB326" s="12"/>
      <c r="DC326" s="12"/>
      <c r="DD326" s="12"/>
      <c r="DE326" s="12"/>
      <c r="DF326" s="12"/>
      <c r="DG326" s="12"/>
      <c r="DH326" s="5"/>
    </row>
    <row r="327" spans="1:112" s="53" customFormat="1" ht="15.95" customHeight="1" x14ac:dyDescent="0.2">
      <c r="A327" s="127">
        <f>A326+1</f>
        <v>266</v>
      </c>
      <c r="B327" s="112">
        <v>2</v>
      </c>
      <c r="C327" s="116" t="s">
        <v>565</v>
      </c>
      <c r="D327" s="227" t="s">
        <v>566</v>
      </c>
      <c r="E327" s="116" t="s">
        <v>552</v>
      </c>
      <c r="F327" s="118">
        <f>46080620/2.69</f>
        <v>17130342.007434946</v>
      </c>
      <c r="G327" s="160"/>
      <c r="H327" s="120"/>
      <c r="I327" s="179"/>
      <c r="J327" s="74"/>
      <c r="K327" s="17"/>
      <c r="L327" s="33"/>
      <c r="M327" s="33"/>
      <c r="N327" s="33"/>
      <c r="O327" s="33"/>
      <c r="P327" s="33"/>
      <c r="Q327" s="33"/>
      <c r="R327" s="33"/>
      <c r="S327" s="34"/>
      <c r="T327" s="34"/>
      <c r="U327" s="34"/>
      <c r="V327" s="34"/>
      <c r="W327" s="34"/>
      <c r="X327" s="34"/>
      <c r="Y327" s="34"/>
      <c r="Z327" s="34"/>
      <c r="AA327" s="34"/>
      <c r="AB327" s="34"/>
      <c r="AC327" s="34"/>
      <c r="AD327" s="34"/>
      <c r="AE327" s="34"/>
      <c r="AF327" s="34"/>
      <c r="AG327" s="34"/>
      <c r="AH327" s="34"/>
      <c r="AI327" s="34"/>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c r="CO327" s="12"/>
      <c r="CP327" s="12"/>
      <c r="CQ327" s="12"/>
      <c r="CR327" s="12"/>
      <c r="CS327" s="12"/>
      <c r="CT327" s="12"/>
      <c r="CU327" s="12"/>
      <c r="CV327" s="12"/>
      <c r="CW327" s="12"/>
      <c r="CX327" s="12"/>
      <c r="CY327" s="12"/>
      <c r="CZ327" s="12"/>
      <c r="DA327" s="12"/>
      <c r="DB327" s="12"/>
      <c r="DC327" s="12"/>
      <c r="DD327" s="12"/>
      <c r="DE327" s="12"/>
      <c r="DF327" s="12"/>
      <c r="DG327" s="12"/>
      <c r="DH327" s="5"/>
    </row>
    <row r="328" spans="1:112" s="53" customFormat="1" ht="15.95" customHeight="1" x14ac:dyDescent="0.2">
      <c r="A328" s="127">
        <f>A327+1</f>
        <v>267</v>
      </c>
      <c r="B328" s="112">
        <v>3</v>
      </c>
      <c r="C328" s="197">
        <v>41214</v>
      </c>
      <c r="D328" s="227" t="s">
        <v>567</v>
      </c>
      <c r="E328" s="116" t="s">
        <v>545</v>
      </c>
      <c r="F328" s="118">
        <f>(412400/2.56)+(273000/2.58)</f>
        <v>266907.70348837209</v>
      </c>
      <c r="G328" s="160"/>
      <c r="H328" s="120"/>
      <c r="I328" s="179"/>
      <c r="J328" s="74"/>
      <c r="K328" s="17"/>
      <c r="L328" s="33"/>
      <c r="M328" s="33"/>
      <c r="N328" s="33"/>
      <c r="O328" s="33"/>
      <c r="P328" s="33"/>
      <c r="Q328" s="33"/>
      <c r="R328" s="33"/>
      <c r="S328" s="34"/>
      <c r="T328" s="34"/>
      <c r="U328" s="34"/>
      <c r="V328" s="34"/>
      <c r="W328" s="34"/>
      <c r="X328" s="34"/>
      <c r="Y328" s="34"/>
      <c r="Z328" s="34"/>
      <c r="AA328" s="34"/>
      <c r="AB328" s="34"/>
      <c r="AC328" s="34"/>
      <c r="AD328" s="34"/>
      <c r="AE328" s="34"/>
      <c r="AF328" s="34"/>
      <c r="AG328" s="34"/>
      <c r="AH328" s="34"/>
      <c r="AI328" s="34"/>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c r="CE328" s="12"/>
      <c r="CF328" s="12"/>
      <c r="CG328" s="12"/>
      <c r="CH328" s="12"/>
      <c r="CI328" s="12"/>
      <c r="CJ328" s="12"/>
      <c r="CK328" s="12"/>
      <c r="CL328" s="12"/>
      <c r="CM328" s="12"/>
      <c r="CN328" s="12"/>
      <c r="CO328" s="12"/>
      <c r="CP328" s="12"/>
      <c r="CQ328" s="12"/>
      <c r="CR328" s="12"/>
      <c r="CS328" s="12"/>
      <c r="CT328" s="12"/>
      <c r="CU328" s="12"/>
      <c r="CV328" s="12"/>
      <c r="CW328" s="12"/>
      <c r="CX328" s="12"/>
      <c r="CY328" s="12"/>
      <c r="CZ328" s="12"/>
      <c r="DA328" s="12"/>
      <c r="DB328" s="12"/>
      <c r="DC328" s="12"/>
      <c r="DD328" s="12"/>
      <c r="DE328" s="12"/>
      <c r="DF328" s="12"/>
      <c r="DG328" s="12"/>
      <c r="DH328" s="5"/>
    </row>
    <row r="329" spans="1:112" s="12" customFormat="1" ht="15.95" customHeight="1" x14ac:dyDescent="0.2">
      <c r="A329" s="16" t="s">
        <v>568</v>
      </c>
      <c r="B329" s="48"/>
      <c r="C329" s="138"/>
      <c r="D329" s="228"/>
      <c r="E329" s="198"/>
      <c r="F329" s="134">
        <f>F326+F327+F328</f>
        <v>19833531.569993783</v>
      </c>
      <c r="G329" s="164"/>
      <c r="H329" s="134"/>
      <c r="I329" s="185"/>
      <c r="J329" s="74"/>
      <c r="K329" s="17"/>
      <c r="L329" s="33"/>
      <c r="M329" s="33"/>
      <c r="N329" s="33"/>
      <c r="O329" s="33"/>
      <c r="P329" s="33"/>
      <c r="Q329" s="33"/>
      <c r="R329" s="33"/>
      <c r="S329" s="34"/>
      <c r="T329" s="34"/>
      <c r="U329" s="34"/>
      <c r="V329" s="34"/>
      <c r="W329" s="34"/>
      <c r="X329" s="34"/>
      <c r="Y329" s="34"/>
      <c r="Z329" s="34"/>
      <c r="AA329" s="34"/>
      <c r="AB329" s="34"/>
      <c r="AC329" s="34"/>
      <c r="AD329" s="34"/>
      <c r="AE329" s="34"/>
      <c r="AF329" s="34"/>
      <c r="AG329" s="34"/>
      <c r="AH329" s="34"/>
      <c r="AI329" s="34"/>
    </row>
    <row r="330" spans="1:112" s="12" customFormat="1" ht="15.95" customHeight="1" x14ac:dyDescent="0.2">
      <c r="A330" s="257">
        <v>2013</v>
      </c>
      <c r="B330" s="258"/>
      <c r="C330" s="258"/>
      <c r="D330" s="258"/>
      <c r="E330" s="258"/>
      <c r="F330" s="258"/>
      <c r="G330" s="258"/>
      <c r="H330" s="258"/>
      <c r="I330" s="259"/>
      <c r="J330" s="74"/>
      <c r="K330" s="17"/>
      <c r="L330" s="33"/>
      <c r="M330" s="33"/>
      <c r="N330" s="33"/>
      <c r="O330" s="33"/>
      <c r="P330" s="33"/>
      <c r="Q330" s="33"/>
      <c r="R330" s="33"/>
      <c r="S330" s="34"/>
      <c r="T330" s="34"/>
      <c r="U330" s="34"/>
      <c r="V330" s="34"/>
      <c r="W330" s="34"/>
      <c r="X330" s="34"/>
      <c r="Y330" s="34"/>
      <c r="Z330" s="34"/>
      <c r="AA330" s="34"/>
      <c r="AB330" s="34"/>
      <c r="AC330" s="34"/>
      <c r="AD330" s="34"/>
      <c r="AE330" s="34"/>
      <c r="AF330" s="34"/>
      <c r="AG330" s="34"/>
      <c r="AH330" s="34"/>
      <c r="AI330" s="34"/>
    </row>
    <row r="331" spans="1:112" s="53" customFormat="1" ht="15.95" customHeight="1" x14ac:dyDescent="0.2">
      <c r="A331" s="127">
        <f>A328+1</f>
        <v>268</v>
      </c>
      <c r="B331" s="112">
        <v>1</v>
      </c>
      <c r="C331" s="116" t="s">
        <v>569</v>
      </c>
      <c r="D331" s="227" t="s">
        <v>570</v>
      </c>
      <c r="E331" s="116" t="s">
        <v>545</v>
      </c>
      <c r="F331" s="119">
        <v>12200000</v>
      </c>
      <c r="G331" s="160"/>
      <c r="H331" s="120"/>
      <c r="I331" s="179"/>
      <c r="J331" s="74"/>
      <c r="K331" s="17"/>
      <c r="L331" s="33"/>
      <c r="M331" s="33"/>
      <c r="N331" s="33"/>
      <c r="O331" s="33"/>
      <c r="P331" s="33"/>
      <c r="Q331" s="33"/>
      <c r="R331" s="33"/>
      <c r="S331" s="34"/>
      <c r="T331" s="34"/>
      <c r="U331" s="34"/>
      <c r="V331" s="34"/>
      <c r="W331" s="34"/>
      <c r="X331" s="34"/>
      <c r="Y331" s="34"/>
      <c r="Z331" s="34"/>
      <c r="AA331" s="34"/>
      <c r="AB331" s="34"/>
      <c r="AC331" s="34"/>
      <c r="AD331" s="34"/>
      <c r="AE331" s="34"/>
      <c r="AF331" s="34"/>
      <c r="AG331" s="34"/>
      <c r="AH331" s="34"/>
      <c r="AI331" s="34"/>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c r="CA331" s="12"/>
      <c r="CB331" s="12"/>
      <c r="CC331" s="12"/>
      <c r="CD331" s="12"/>
      <c r="CE331" s="12"/>
      <c r="CF331" s="12"/>
      <c r="CG331" s="12"/>
      <c r="CH331" s="12"/>
      <c r="CI331" s="12"/>
      <c r="CJ331" s="12"/>
      <c r="CK331" s="12"/>
      <c r="CL331" s="12"/>
      <c r="CM331" s="12"/>
      <c r="CN331" s="12"/>
      <c r="CO331" s="12"/>
      <c r="CP331" s="12"/>
      <c r="CQ331" s="12"/>
      <c r="CR331" s="12"/>
      <c r="CS331" s="12"/>
      <c r="CT331" s="12"/>
      <c r="CU331" s="12"/>
      <c r="CV331" s="12"/>
      <c r="CW331" s="12"/>
      <c r="CX331" s="12"/>
      <c r="CY331" s="12"/>
      <c r="CZ331" s="12"/>
      <c r="DA331" s="12"/>
      <c r="DB331" s="12"/>
      <c r="DC331" s="12"/>
      <c r="DD331" s="12"/>
      <c r="DE331" s="12"/>
      <c r="DF331" s="12"/>
      <c r="DG331" s="12"/>
      <c r="DH331" s="5"/>
    </row>
    <row r="332" spans="1:112" ht="27.75" customHeight="1" x14ac:dyDescent="0.2">
      <c r="A332" s="129">
        <f>A331+1</f>
        <v>269</v>
      </c>
      <c r="B332" s="130">
        <f>B331+1</f>
        <v>2</v>
      </c>
      <c r="C332" s="131" t="s">
        <v>571</v>
      </c>
      <c r="D332" s="229" t="s">
        <v>572</v>
      </c>
      <c r="E332" s="131" t="s">
        <v>552</v>
      </c>
      <c r="F332" s="132">
        <f>134315.61+3591.81+(5708.45/2.79)</f>
        <v>139953.45942652327</v>
      </c>
      <c r="G332" s="162"/>
      <c r="H332" s="199"/>
      <c r="I332" s="184"/>
      <c r="J332" s="74"/>
      <c r="K332" s="17"/>
      <c r="L332" s="8"/>
      <c r="M332" s="8"/>
      <c r="N332" s="8"/>
      <c r="O332" s="8"/>
      <c r="P332" s="8"/>
      <c r="Q332" s="8"/>
      <c r="R332" s="8"/>
    </row>
    <row r="333" spans="1:112" s="12" customFormat="1" ht="15.95" customHeight="1" x14ac:dyDescent="0.2">
      <c r="A333" s="16" t="s">
        <v>573</v>
      </c>
      <c r="B333" s="48"/>
      <c r="C333" s="138"/>
      <c r="D333" s="228"/>
      <c r="E333" s="68"/>
      <c r="F333" s="134">
        <f>SUM(F331:F332)</f>
        <v>12339953.459426524</v>
      </c>
      <c r="G333" s="164"/>
      <c r="H333" s="134"/>
      <c r="I333" s="185"/>
      <c r="J333" s="74"/>
      <c r="K333" s="17"/>
      <c r="L333" s="33"/>
      <c r="M333" s="33"/>
      <c r="N333" s="33"/>
      <c r="O333" s="33"/>
      <c r="P333" s="33"/>
      <c r="Q333" s="33"/>
      <c r="R333" s="33"/>
      <c r="S333" s="34"/>
      <c r="T333" s="34"/>
      <c r="U333" s="34"/>
      <c r="V333" s="34"/>
      <c r="W333" s="34"/>
      <c r="X333" s="34"/>
      <c r="Y333" s="34"/>
      <c r="Z333" s="34"/>
      <c r="AA333" s="34"/>
      <c r="AB333" s="34"/>
      <c r="AC333" s="34"/>
      <c r="AD333" s="34"/>
      <c r="AE333" s="34"/>
      <c r="AF333" s="34"/>
      <c r="AG333" s="34"/>
      <c r="AH333" s="34"/>
      <c r="AI333" s="34"/>
    </row>
    <row r="334" spans="1:112" s="12" customFormat="1" ht="15.95" customHeight="1" x14ac:dyDescent="0.2">
      <c r="A334" s="257"/>
      <c r="B334" s="258"/>
      <c r="C334" s="258"/>
      <c r="D334" s="258"/>
      <c r="E334" s="258"/>
      <c r="F334" s="258"/>
      <c r="G334" s="258"/>
      <c r="H334" s="258"/>
      <c r="I334" s="259"/>
      <c r="J334" s="74"/>
      <c r="K334" s="17"/>
      <c r="L334" s="33"/>
      <c r="M334" s="33"/>
      <c r="N334" s="33"/>
      <c r="O334" s="33"/>
      <c r="P334" s="33"/>
      <c r="Q334" s="33"/>
      <c r="R334" s="33"/>
      <c r="S334" s="34"/>
      <c r="T334" s="34"/>
      <c r="U334" s="34"/>
      <c r="V334" s="34"/>
      <c r="W334" s="34"/>
      <c r="X334" s="34"/>
      <c r="Y334" s="34"/>
      <c r="Z334" s="34"/>
      <c r="AA334" s="34"/>
      <c r="AB334" s="34"/>
      <c r="AC334" s="34"/>
      <c r="AD334" s="34"/>
      <c r="AE334" s="34"/>
      <c r="AF334" s="34"/>
      <c r="AG334" s="34"/>
      <c r="AH334" s="34"/>
      <c r="AI334" s="34"/>
    </row>
    <row r="335" spans="1:112" s="53" customFormat="1" ht="28.5" customHeight="1" x14ac:dyDescent="0.2">
      <c r="A335" s="127">
        <f>A332+1</f>
        <v>270</v>
      </c>
      <c r="B335" s="112">
        <v>1</v>
      </c>
      <c r="C335" s="116" t="s">
        <v>574</v>
      </c>
      <c r="D335" s="227" t="s">
        <v>575</v>
      </c>
      <c r="E335" s="116" t="s">
        <v>545</v>
      </c>
      <c r="F335" s="119">
        <f>(370000+2700111.8+7690005.76+848959.85)/2.78</f>
        <v>4175927.1258992804</v>
      </c>
      <c r="G335" s="160"/>
      <c r="H335" s="120"/>
      <c r="I335" s="179"/>
      <c r="J335" s="74"/>
      <c r="K335" s="17"/>
      <c r="L335" s="33"/>
      <c r="M335" s="33"/>
      <c r="N335" s="33"/>
      <c r="O335" s="33"/>
      <c r="P335" s="33"/>
      <c r="Q335" s="33"/>
      <c r="R335" s="33"/>
      <c r="S335" s="34"/>
      <c r="T335" s="34"/>
      <c r="U335" s="34"/>
      <c r="V335" s="34"/>
      <c r="W335" s="34"/>
      <c r="X335" s="34"/>
      <c r="Y335" s="34"/>
      <c r="Z335" s="34"/>
      <c r="AA335" s="34"/>
      <c r="AB335" s="34"/>
      <c r="AC335" s="34"/>
      <c r="AD335" s="34"/>
      <c r="AE335" s="34"/>
      <c r="AF335" s="34"/>
      <c r="AG335" s="34"/>
      <c r="AH335" s="34"/>
      <c r="AI335" s="34"/>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c r="CA335" s="12"/>
      <c r="CB335" s="12"/>
      <c r="CC335" s="12"/>
      <c r="CD335" s="12"/>
      <c r="CE335" s="12"/>
      <c r="CF335" s="12"/>
      <c r="CG335" s="12"/>
      <c r="CH335" s="12"/>
      <c r="CI335" s="12"/>
      <c r="CJ335" s="12"/>
      <c r="CK335" s="12"/>
      <c r="CL335" s="12"/>
      <c r="CM335" s="12"/>
      <c r="CN335" s="12"/>
      <c r="CO335" s="12"/>
      <c r="CP335" s="12"/>
      <c r="CQ335" s="12"/>
      <c r="CR335" s="12"/>
      <c r="CS335" s="12"/>
      <c r="CT335" s="12"/>
      <c r="CU335" s="12"/>
      <c r="CV335" s="12"/>
      <c r="CW335" s="12"/>
      <c r="CX335" s="12"/>
      <c r="CY335" s="12"/>
      <c r="CZ335" s="12"/>
      <c r="DA335" s="12"/>
      <c r="DB335" s="12"/>
      <c r="DC335" s="12"/>
      <c r="DD335" s="12"/>
      <c r="DE335" s="12"/>
      <c r="DF335" s="12"/>
      <c r="DG335" s="12"/>
      <c r="DH335" s="5"/>
    </row>
    <row r="336" spans="1:112" s="53" customFormat="1" ht="20.25" customHeight="1" x14ac:dyDescent="0.2">
      <c r="A336" s="127">
        <f>A335+1</f>
        <v>271</v>
      </c>
      <c r="B336" s="112">
        <f>B335+1</f>
        <v>2</v>
      </c>
      <c r="C336" s="116" t="s">
        <v>576</v>
      </c>
      <c r="D336" s="227" t="s">
        <v>577</v>
      </c>
      <c r="E336" s="116" t="s">
        <v>545</v>
      </c>
      <c r="F336" s="119">
        <f>5610001/2.8</f>
        <v>2003571.7857142859</v>
      </c>
      <c r="G336" s="160"/>
      <c r="H336" s="120"/>
      <c r="I336" s="179"/>
      <c r="J336" s="74"/>
      <c r="K336" s="17"/>
      <c r="L336" s="33"/>
      <c r="M336" s="33"/>
      <c r="N336" s="33"/>
      <c r="O336" s="33"/>
      <c r="P336" s="33"/>
      <c r="Q336" s="33"/>
      <c r="R336" s="33"/>
      <c r="S336" s="34"/>
      <c r="T336" s="34"/>
      <c r="U336" s="34"/>
      <c r="V336" s="34"/>
      <c r="W336" s="34"/>
      <c r="X336" s="34"/>
      <c r="Y336" s="34"/>
      <c r="Z336" s="34"/>
      <c r="AA336" s="34"/>
      <c r="AB336" s="34"/>
      <c r="AC336" s="34"/>
      <c r="AD336" s="34"/>
      <c r="AE336" s="34"/>
      <c r="AF336" s="34"/>
      <c r="AG336" s="34"/>
      <c r="AH336" s="34"/>
      <c r="AI336" s="34"/>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c r="CA336" s="12"/>
      <c r="CB336" s="12"/>
      <c r="CC336" s="12"/>
      <c r="CD336" s="12"/>
      <c r="CE336" s="12"/>
      <c r="CF336" s="12"/>
      <c r="CG336" s="12"/>
      <c r="CH336" s="12"/>
      <c r="CI336" s="12"/>
      <c r="CJ336" s="12"/>
      <c r="CK336" s="12"/>
      <c r="CL336" s="12"/>
      <c r="CM336" s="12"/>
      <c r="CN336" s="12"/>
      <c r="CO336" s="12"/>
      <c r="CP336" s="12"/>
      <c r="CQ336" s="12"/>
      <c r="CR336" s="12"/>
      <c r="CS336" s="12"/>
      <c r="CT336" s="12"/>
      <c r="CU336" s="12"/>
      <c r="CV336" s="12"/>
      <c r="CW336" s="12"/>
      <c r="CX336" s="12"/>
      <c r="CY336" s="12"/>
      <c r="CZ336" s="12"/>
      <c r="DA336" s="12"/>
      <c r="DB336" s="12"/>
      <c r="DC336" s="12"/>
      <c r="DD336" s="12"/>
      <c r="DE336" s="12"/>
      <c r="DF336" s="12"/>
      <c r="DG336" s="12"/>
      <c r="DH336" s="5"/>
    </row>
    <row r="337" spans="1:35" s="12" customFormat="1" ht="15.95" customHeight="1" x14ac:dyDescent="0.2">
      <c r="A337" s="16" t="s">
        <v>578</v>
      </c>
      <c r="B337" s="48"/>
      <c r="C337" s="138"/>
      <c r="D337" s="228"/>
      <c r="E337" s="68"/>
      <c r="F337" s="134">
        <f>SUM(F335:F336)</f>
        <v>6179498.9116135668</v>
      </c>
      <c r="G337" s="164"/>
      <c r="H337" s="134"/>
      <c r="I337" s="185"/>
      <c r="J337" s="74"/>
      <c r="K337" s="17"/>
      <c r="L337" s="33"/>
      <c r="M337" s="33"/>
      <c r="N337" s="33"/>
      <c r="O337" s="33"/>
      <c r="P337" s="33"/>
      <c r="Q337" s="33"/>
      <c r="R337" s="33"/>
      <c r="S337" s="34"/>
      <c r="T337" s="34"/>
      <c r="U337" s="34"/>
      <c r="V337" s="34"/>
      <c r="W337" s="34"/>
      <c r="X337" s="34"/>
      <c r="Y337" s="34"/>
      <c r="Z337" s="34"/>
      <c r="AA337" s="34"/>
      <c r="AB337" s="34"/>
      <c r="AC337" s="34"/>
      <c r="AD337" s="34"/>
      <c r="AE337" s="34"/>
      <c r="AF337" s="34"/>
      <c r="AG337" s="34"/>
      <c r="AH337" s="34"/>
      <c r="AI337" s="34"/>
    </row>
    <row r="338" spans="1:35" s="12" customFormat="1" ht="15.95" customHeight="1" x14ac:dyDescent="0.2">
      <c r="A338" s="16"/>
      <c r="B338" s="48"/>
      <c r="C338" s="138"/>
      <c r="D338" s="228"/>
      <c r="E338" s="68"/>
      <c r="F338" s="134"/>
      <c r="G338" s="164"/>
      <c r="H338" s="134"/>
      <c r="I338" s="185"/>
      <c r="J338" s="74"/>
      <c r="K338" s="17"/>
      <c r="L338" s="33"/>
      <c r="M338" s="33"/>
      <c r="N338" s="33"/>
      <c r="O338" s="33"/>
      <c r="P338" s="33"/>
      <c r="Q338" s="33"/>
      <c r="R338" s="33"/>
      <c r="S338" s="34"/>
      <c r="T338" s="34"/>
      <c r="U338" s="34"/>
      <c r="V338" s="34"/>
      <c r="W338" s="34"/>
      <c r="X338" s="34"/>
      <c r="Y338" s="34"/>
      <c r="Z338" s="34"/>
      <c r="AA338" s="34"/>
      <c r="AB338" s="34"/>
      <c r="AC338" s="34"/>
      <c r="AD338" s="34"/>
      <c r="AE338" s="34"/>
      <c r="AF338" s="34"/>
      <c r="AG338" s="34"/>
      <c r="AH338" s="34"/>
      <c r="AI338" s="34"/>
    </row>
    <row r="339" spans="1:35" ht="15.95" customHeight="1" x14ac:dyDescent="0.2">
      <c r="A339" s="16" t="s">
        <v>579</v>
      </c>
      <c r="B339" s="3"/>
      <c r="C339" s="2"/>
      <c r="D339" s="225"/>
      <c r="E339" s="2"/>
      <c r="F339" s="134">
        <f>F32+F47+F72+F104+F143+F177+F202+F220+F229+F244+F256+F266+F275+F287+F297+F305+F310+F313+F318+F324+F329+F333+F337</f>
        <v>9580122653.3282108</v>
      </c>
      <c r="G339" s="134"/>
      <c r="H339" s="134">
        <f>H32+H47+H72+H104+H143+H177+H202+H220+H229+H244+H256+H266+H275+H287+H297+H305+H310+H318+H324</f>
        <v>20857652094.02198</v>
      </c>
      <c r="I339" s="187"/>
      <c r="J339" s="74"/>
      <c r="K339" s="17"/>
    </row>
    <row r="340" spans="1:35" s="144" customFormat="1" ht="13.5" customHeight="1" x14ac:dyDescent="0.2">
      <c r="A340" s="141"/>
      <c r="B340" s="141"/>
      <c r="C340" s="141"/>
      <c r="D340" s="232"/>
      <c r="E340" s="141"/>
      <c r="F340" s="195"/>
      <c r="G340" s="166"/>
      <c r="H340" s="141"/>
      <c r="I340" s="166"/>
      <c r="J340" s="205"/>
      <c r="K340" s="142"/>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row>
    <row r="341" spans="1:35" ht="15.95" customHeight="1" x14ac:dyDescent="0.2">
      <c r="A341" s="248" t="s">
        <v>580</v>
      </c>
      <c r="B341" s="249"/>
      <c r="C341" s="249"/>
      <c r="D341" s="249"/>
      <c r="E341" s="249"/>
      <c r="F341" s="249"/>
      <c r="G341" s="249"/>
      <c r="H341" s="249"/>
      <c r="I341" s="250"/>
      <c r="J341" s="74">
        <f>+F341</f>
        <v>0</v>
      </c>
      <c r="K341" s="17">
        <f>+H341</f>
        <v>0</v>
      </c>
    </row>
    <row r="342" spans="1:35" ht="15.95" customHeight="1" x14ac:dyDescent="0.2">
      <c r="A342" s="127">
        <f>A336+1</f>
        <v>272</v>
      </c>
      <c r="B342" s="112">
        <v>1</v>
      </c>
      <c r="C342" s="116" t="s">
        <v>581</v>
      </c>
      <c r="D342" s="227" t="s">
        <v>582</v>
      </c>
      <c r="E342" s="116" t="s">
        <v>97</v>
      </c>
      <c r="F342" s="118">
        <v>46559024.657194398</v>
      </c>
      <c r="G342" s="160"/>
      <c r="H342" s="120"/>
      <c r="I342" s="179"/>
      <c r="J342" s="74">
        <f>+F342</f>
        <v>46559024.657194398</v>
      </c>
      <c r="K342" s="17">
        <f>+H342</f>
        <v>0</v>
      </c>
    </row>
    <row r="343" spans="1:35" ht="15.95" customHeight="1" x14ac:dyDescent="0.2">
      <c r="A343" s="16" t="s">
        <v>583</v>
      </c>
      <c r="B343" s="3"/>
      <c r="C343" s="2"/>
      <c r="D343" s="225"/>
      <c r="E343" s="2"/>
      <c r="F343" s="134">
        <f>SUM(F342:F342)</f>
        <v>46559024.657194398</v>
      </c>
      <c r="G343" s="164"/>
      <c r="H343" s="134">
        <f>SUM(H342:H342)</f>
        <v>0</v>
      </c>
      <c r="I343" s="187"/>
      <c r="J343" s="74"/>
      <c r="K343" s="17"/>
    </row>
    <row r="344" spans="1:35" ht="8.25" customHeight="1" x14ac:dyDescent="0.2">
      <c r="A344" s="14"/>
      <c r="B344" s="14"/>
      <c r="C344" s="64"/>
      <c r="D344" s="226"/>
      <c r="E344" s="64"/>
      <c r="F344" s="15"/>
      <c r="G344" s="158"/>
      <c r="H344" s="15"/>
      <c r="I344" s="188"/>
      <c r="J344" s="74">
        <f>+F344</f>
        <v>0</v>
      </c>
      <c r="K344" s="17">
        <f>+H344</f>
        <v>0</v>
      </c>
    </row>
    <row r="345" spans="1:35" ht="15.95" customHeight="1" x14ac:dyDescent="0.2">
      <c r="A345" s="92" t="s">
        <v>584</v>
      </c>
      <c r="B345" s="92"/>
      <c r="C345" s="92"/>
      <c r="D345" s="233"/>
      <c r="E345" s="92"/>
      <c r="F345" s="148">
        <f>F18+F339+F343</f>
        <v>9629275524.985405</v>
      </c>
      <c r="G345" s="167"/>
      <c r="H345" s="148">
        <f>H18+H339+H343</f>
        <v>20857652094.02198</v>
      </c>
      <c r="I345" s="167"/>
      <c r="J345" s="74">
        <f>H345+F345</f>
        <v>30486927619.007385</v>
      </c>
      <c r="K345" s="17"/>
    </row>
    <row r="346" spans="1:35" ht="9.9499999999999993" customHeight="1" x14ac:dyDescent="0.2">
      <c r="A346" s="14"/>
      <c r="B346" s="14"/>
      <c r="C346" s="64"/>
      <c r="D346" s="226"/>
      <c r="E346" s="64"/>
      <c r="F346" s="15"/>
      <c r="G346" s="158"/>
      <c r="H346" s="15"/>
      <c r="I346" s="188"/>
      <c r="J346" s="74">
        <f t="shared" ref="J346:J351" si="61">+F346</f>
        <v>0</v>
      </c>
      <c r="K346" s="17">
        <f t="shared" ref="K346:K351" si="62">+H346</f>
        <v>0</v>
      </c>
    </row>
    <row r="347" spans="1:35" ht="15.95" customHeight="1" x14ac:dyDescent="0.2">
      <c r="A347" s="247" t="s">
        <v>585</v>
      </c>
      <c r="B347" s="247"/>
      <c r="C347" s="247"/>
      <c r="D347" s="247"/>
      <c r="E347" s="247"/>
      <c r="F347" s="247"/>
      <c r="G347" s="247"/>
      <c r="H347" s="247"/>
      <c r="I347" s="247"/>
      <c r="J347" s="74">
        <f t="shared" si="61"/>
        <v>0</v>
      </c>
      <c r="K347" s="17">
        <f t="shared" si="62"/>
        <v>0</v>
      </c>
    </row>
    <row r="348" spans="1:35" ht="9.9499999999999993" customHeight="1" x14ac:dyDescent="0.2">
      <c r="A348" s="14"/>
      <c r="B348" s="14"/>
      <c r="C348" s="64"/>
      <c r="D348" s="226"/>
      <c r="E348" s="64"/>
      <c r="F348" s="14"/>
      <c r="G348" s="168"/>
      <c r="H348" s="14"/>
      <c r="I348" s="168"/>
      <c r="J348" s="74">
        <f t="shared" si="61"/>
        <v>0</v>
      </c>
      <c r="K348" s="17">
        <f t="shared" si="62"/>
        <v>0</v>
      </c>
    </row>
    <row r="349" spans="1:35" ht="15.95" customHeight="1" x14ac:dyDescent="0.2">
      <c r="A349" s="248" t="s">
        <v>586</v>
      </c>
      <c r="B349" s="249"/>
      <c r="C349" s="249"/>
      <c r="D349" s="249"/>
      <c r="E349" s="249"/>
      <c r="F349" s="249"/>
      <c r="G349" s="249"/>
      <c r="H349" s="249"/>
      <c r="I349" s="250"/>
      <c r="J349" s="74">
        <f t="shared" si="61"/>
        <v>0</v>
      </c>
      <c r="K349" s="17">
        <f t="shared" si="62"/>
        <v>0</v>
      </c>
    </row>
    <row r="350" spans="1:35" ht="15.95" customHeight="1" x14ac:dyDescent="0.2">
      <c r="A350" s="127">
        <f>+A342+1</f>
        <v>273</v>
      </c>
      <c r="B350" s="112">
        <v>1</v>
      </c>
      <c r="C350" s="116" t="s">
        <v>587</v>
      </c>
      <c r="D350" s="227" t="s">
        <v>588</v>
      </c>
      <c r="E350" s="116" t="s">
        <v>104</v>
      </c>
      <c r="F350" s="118"/>
      <c r="G350" s="160"/>
      <c r="H350" s="120">
        <v>179000000</v>
      </c>
      <c r="I350" s="179" t="s">
        <v>40</v>
      </c>
      <c r="J350" s="74">
        <f t="shared" si="61"/>
        <v>0</v>
      </c>
      <c r="K350" s="17">
        <f t="shared" si="62"/>
        <v>179000000</v>
      </c>
    </row>
    <row r="351" spans="1:35" ht="15.95" customHeight="1" x14ac:dyDescent="0.2">
      <c r="A351" s="129">
        <f>+A350+1</f>
        <v>274</v>
      </c>
      <c r="B351" s="130">
        <f>B350+1</f>
        <v>2</v>
      </c>
      <c r="C351" s="131" t="s">
        <v>589</v>
      </c>
      <c r="D351" s="229" t="s">
        <v>590</v>
      </c>
      <c r="E351" s="131" t="s">
        <v>84</v>
      </c>
      <c r="F351" s="132">
        <v>35100000</v>
      </c>
      <c r="G351" s="162"/>
      <c r="H351" s="133"/>
      <c r="I351" s="184"/>
      <c r="J351" s="74">
        <f t="shared" si="61"/>
        <v>35100000</v>
      </c>
      <c r="K351" s="17">
        <f t="shared" si="62"/>
        <v>0</v>
      </c>
    </row>
    <row r="352" spans="1:35" ht="15.95" customHeight="1" x14ac:dyDescent="0.2">
      <c r="A352" s="16" t="s">
        <v>591</v>
      </c>
      <c r="B352" s="3"/>
      <c r="C352" s="2"/>
      <c r="D352" s="225"/>
      <c r="E352" s="68"/>
      <c r="F352" s="108">
        <f>SUM(F350:F351)</f>
        <v>35100000</v>
      </c>
      <c r="G352" s="157"/>
      <c r="H352" s="109">
        <f>SUM(H350:H351)</f>
        <v>179000000</v>
      </c>
      <c r="I352" s="178"/>
      <c r="J352" s="74"/>
      <c r="K352" s="17"/>
    </row>
    <row r="353" spans="1:111" ht="8.25" customHeight="1" x14ac:dyDescent="0.2">
      <c r="A353" s="14"/>
      <c r="B353" s="14"/>
      <c r="C353" s="64"/>
      <c r="D353" s="226"/>
      <c r="E353" s="65"/>
      <c r="F353" s="15"/>
      <c r="G353" s="158"/>
      <c r="H353" s="79"/>
      <c r="I353" s="175"/>
      <c r="J353" s="74"/>
      <c r="K353" s="17"/>
    </row>
    <row r="354" spans="1:111" s="47" customFormat="1" ht="15.95" customHeight="1" x14ac:dyDescent="0.2">
      <c r="A354" s="248" t="s">
        <v>592</v>
      </c>
      <c r="B354" s="249"/>
      <c r="C354" s="249"/>
      <c r="D354" s="249"/>
      <c r="E354" s="249"/>
      <c r="F354" s="249"/>
      <c r="G354" s="249"/>
      <c r="H354" s="249"/>
      <c r="I354" s="250"/>
      <c r="J354" s="74">
        <f t="shared" ref="J354:J390" si="63">+F354</f>
        <v>0</v>
      </c>
      <c r="K354" s="17">
        <f t="shared" ref="K354:K390" si="64">+H354</f>
        <v>0</v>
      </c>
      <c r="L354" s="11"/>
      <c r="M354" s="11"/>
      <c r="N354" s="11"/>
      <c r="O354" s="11"/>
      <c r="P354" s="11"/>
      <c r="Q354" s="11"/>
      <c r="R354" s="11"/>
      <c r="S354" s="8"/>
      <c r="T354" s="8"/>
      <c r="U354" s="8"/>
      <c r="V354" s="8"/>
      <c r="W354" s="8"/>
      <c r="X354" s="8"/>
      <c r="Y354" s="8"/>
      <c r="Z354" s="8"/>
      <c r="AA354" s="8"/>
      <c r="AB354" s="8"/>
      <c r="AC354" s="8"/>
      <c r="AD354" s="8"/>
      <c r="AE354" s="8"/>
      <c r="AF354" s="8"/>
      <c r="AG354" s="8"/>
      <c r="AH354" s="8"/>
      <c r="AI354" s="8"/>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c r="CC354" s="9"/>
      <c r="CD354" s="9"/>
      <c r="CE354" s="9"/>
      <c r="CF354" s="9"/>
      <c r="CG354" s="9"/>
      <c r="CH354" s="9"/>
      <c r="CI354" s="9"/>
      <c r="CJ354" s="9"/>
      <c r="CK354" s="9"/>
      <c r="CL354" s="9"/>
      <c r="CM354" s="9"/>
      <c r="CN354" s="9"/>
      <c r="CO354" s="9"/>
      <c r="CP354" s="9"/>
      <c r="CQ354" s="9"/>
      <c r="CR354" s="9"/>
      <c r="CS354" s="9"/>
      <c r="CT354" s="9"/>
      <c r="CU354" s="9"/>
      <c r="CV354" s="9"/>
      <c r="CW354" s="9"/>
      <c r="CX354" s="9"/>
      <c r="CY354" s="9"/>
      <c r="CZ354" s="9"/>
      <c r="DA354" s="9"/>
      <c r="DB354" s="9"/>
      <c r="DC354" s="9"/>
      <c r="DD354" s="9"/>
      <c r="DE354" s="9"/>
      <c r="DF354" s="9"/>
      <c r="DG354" s="9"/>
    </row>
    <row r="355" spans="1:111" ht="15.95" customHeight="1" x14ac:dyDescent="0.2">
      <c r="A355" s="127">
        <f>+A351+1</f>
        <v>275</v>
      </c>
      <c r="B355" s="112">
        <v>1</v>
      </c>
      <c r="C355" s="116" t="s">
        <v>593</v>
      </c>
      <c r="D355" s="227" t="s">
        <v>594</v>
      </c>
      <c r="E355" s="116" t="s">
        <v>32</v>
      </c>
      <c r="F355" s="118">
        <v>12000000</v>
      </c>
      <c r="G355" s="160"/>
      <c r="H355" s="120">
        <v>535723</v>
      </c>
      <c r="I355" s="179" t="s">
        <v>40</v>
      </c>
      <c r="J355" s="74">
        <f t="shared" si="63"/>
        <v>12000000</v>
      </c>
      <c r="K355" s="17">
        <f t="shared" si="64"/>
        <v>535723</v>
      </c>
    </row>
    <row r="356" spans="1:111" ht="15.95" customHeight="1" x14ac:dyDescent="0.2">
      <c r="A356" s="127">
        <f>A355+1</f>
        <v>276</v>
      </c>
      <c r="B356" s="112">
        <f>B355+1</f>
        <v>2</v>
      </c>
      <c r="C356" s="116" t="s">
        <v>595</v>
      </c>
      <c r="D356" s="227" t="s">
        <v>596</v>
      </c>
      <c r="E356" s="116" t="s">
        <v>32</v>
      </c>
      <c r="F356" s="118">
        <v>8700000</v>
      </c>
      <c r="G356" s="160"/>
      <c r="H356" s="120">
        <v>5000000</v>
      </c>
      <c r="I356" s="179"/>
      <c r="J356" s="74">
        <f t="shared" si="63"/>
        <v>8700000</v>
      </c>
      <c r="K356" s="17">
        <f t="shared" si="64"/>
        <v>5000000</v>
      </c>
    </row>
    <row r="357" spans="1:111" ht="15.95" customHeight="1" x14ac:dyDescent="0.2">
      <c r="A357" s="127">
        <f t="shared" ref="A357:B378" si="65">A356+1</f>
        <v>277</v>
      </c>
      <c r="B357" s="112">
        <f>B356+1</f>
        <v>3</v>
      </c>
      <c r="C357" s="116" t="s">
        <v>134</v>
      </c>
      <c r="D357" s="227" t="s">
        <v>597</v>
      </c>
      <c r="E357" s="116" t="s">
        <v>137</v>
      </c>
      <c r="F357" s="118">
        <v>2112222</v>
      </c>
      <c r="G357" s="160"/>
      <c r="H357" s="120">
        <v>1184303</v>
      </c>
      <c r="I357" s="179" t="s">
        <v>40</v>
      </c>
      <c r="J357" s="74">
        <f t="shared" si="63"/>
        <v>2112222</v>
      </c>
      <c r="K357" s="17">
        <f t="shared" si="64"/>
        <v>1184303</v>
      </c>
    </row>
    <row r="358" spans="1:111" ht="15.95" customHeight="1" x14ac:dyDescent="0.2">
      <c r="A358" s="127">
        <f t="shared" si="65"/>
        <v>278</v>
      </c>
      <c r="B358" s="112">
        <f>B357+1</f>
        <v>4</v>
      </c>
      <c r="C358" s="116" t="s">
        <v>134</v>
      </c>
      <c r="D358" s="227" t="s">
        <v>598</v>
      </c>
      <c r="E358" s="116" t="s">
        <v>137</v>
      </c>
      <c r="F358" s="118">
        <v>4507777</v>
      </c>
      <c r="G358" s="160"/>
      <c r="H358" s="120">
        <v>5520960</v>
      </c>
      <c r="I358" s="179" t="s">
        <v>40</v>
      </c>
      <c r="J358" s="74">
        <f t="shared" si="63"/>
        <v>4507777</v>
      </c>
      <c r="K358" s="17">
        <f t="shared" si="64"/>
        <v>5520960</v>
      </c>
    </row>
    <row r="359" spans="1:111" ht="15.95" customHeight="1" x14ac:dyDescent="0.2">
      <c r="A359" s="127">
        <f t="shared" si="65"/>
        <v>279</v>
      </c>
      <c r="B359" s="112">
        <f t="shared" si="65"/>
        <v>5</v>
      </c>
      <c r="C359" s="116" t="s">
        <v>599</v>
      </c>
      <c r="D359" s="227" t="s">
        <v>600</v>
      </c>
      <c r="E359" s="116" t="s">
        <v>104</v>
      </c>
      <c r="F359" s="118"/>
      <c r="G359" s="160"/>
      <c r="H359" s="120">
        <v>74480000</v>
      </c>
      <c r="I359" s="179" t="s">
        <v>40</v>
      </c>
      <c r="J359" s="74">
        <f t="shared" si="63"/>
        <v>0</v>
      </c>
      <c r="K359" s="17">
        <f t="shared" si="64"/>
        <v>74480000</v>
      </c>
    </row>
    <row r="360" spans="1:111" s="25" customFormat="1" ht="15.95" customHeight="1" x14ac:dyDescent="0.2">
      <c r="A360" s="127">
        <f t="shared" si="65"/>
        <v>280</v>
      </c>
      <c r="B360" s="112">
        <f t="shared" si="65"/>
        <v>6</v>
      </c>
      <c r="C360" s="116" t="s">
        <v>601</v>
      </c>
      <c r="D360" s="227" t="s">
        <v>602</v>
      </c>
      <c r="E360" s="116" t="s">
        <v>603</v>
      </c>
      <c r="F360" s="118">
        <v>9680000</v>
      </c>
      <c r="G360" s="160"/>
      <c r="H360" s="120">
        <v>7800000</v>
      </c>
      <c r="I360" s="179" t="s">
        <v>40</v>
      </c>
      <c r="J360" s="74">
        <f t="shared" si="63"/>
        <v>9680000</v>
      </c>
      <c r="K360" s="17">
        <f t="shared" si="64"/>
        <v>7800000</v>
      </c>
      <c r="L360" s="11"/>
      <c r="M360" s="11"/>
      <c r="N360" s="11"/>
      <c r="O360" s="11"/>
      <c r="P360" s="11"/>
      <c r="Q360" s="11"/>
      <c r="R360" s="11"/>
      <c r="S360" s="8"/>
      <c r="T360" s="8"/>
      <c r="U360" s="8"/>
      <c r="V360" s="8"/>
      <c r="W360" s="8"/>
      <c r="X360" s="8"/>
      <c r="Y360" s="8"/>
      <c r="Z360" s="8"/>
      <c r="AA360" s="8"/>
      <c r="AB360" s="8"/>
      <c r="AC360" s="8"/>
      <c r="AD360" s="8"/>
      <c r="AE360" s="8"/>
      <c r="AF360" s="8"/>
      <c r="AG360" s="8"/>
      <c r="AH360" s="8"/>
      <c r="AI360" s="8"/>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c r="CI360" s="9"/>
      <c r="CJ360" s="9"/>
      <c r="CK360" s="9"/>
      <c r="CL360" s="9"/>
      <c r="CM360" s="9"/>
      <c r="CN360" s="9"/>
      <c r="CO360" s="9"/>
      <c r="CP360" s="9"/>
      <c r="CQ360" s="9"/>
      <c r="CR360" s="9"/>
      <c r="CS360" s="9"/>
      <c r="CT360" s="9"/>
      <c r="CU360" s="9"/>
      <c r="CV360" s="9"/>
      <c r="CW360" s="9"/>
      <c r="CX360" s="9"/>
      <c r="CY360" s="9"/>
      <c r="CZ360" s="9"/>
      <c r="DA360" s="9"/>
      <c r="DB360" s="9"/>
      <c r="DC360" s="9"/>
      <c r="DD360" s="9"/>
      <c r="DE360" s="9"/>
      <c r="DF360" s="9"/>
      <c r="DG360" s="9"/>
    </row>
    <row r="361" spans="1:111" s="31" customFormat="1" ht="15.95" customHeight="1" x14ac:dyDescent="0.2">
      <c r="A361" s="127">
        <f t="shared" si="65"/>
        <v>281</v>
      </c>
      <c r="B361" s="112">
        <f t="shared" si="65"/>
        <v>7</v>
      </c>
      <c r="C361" s="116" t="s">
        <v>367</v>
      </c>
      <c r="D361" s="227" t="s">
        <v>604</v>
      </c>
      <c r="E361" s="116" t="s">
        <v>32</v>
      </c>
      <c r="F361" s="118"/>
      <c r="G361" s="160"/>
      <c r="H361" s="120">
        <v>157000000</v>
      </c>
      <c r="I361" s="179" t="s">
        <v>40</v>
      </c>
      <c r="J361" s="74">
        <f t="shared" si="63"/>
        <v>0</v>
      </c>
      <c r="K361" s="17">
        <f t="shared" si="64"/>
        <v>157000000</v>
      </c>
      <c r="L361" s="11"/>
      <c r="M361" s="11"/>
      <c r="N361" s="11"/>
      <c r="O361" s="11"/>
      <c r="P361" s="11"/>
      <c r="Q361" s="11"/>
      <c r="R361" s="11"/>
      <c r="S361" s="8"/>
      <c r="T361" s="8"/>
      <c r="U361" s="8"/>
      <c r="V361" s="8"/>
      <c r="W361" s="8"/>
      <c r="X361" s="8"/>
      <c r="Y361" s="8"/>
      <c r="Z361" s="8"/>
      <c r="AA361" s="8"/>
      <c r="AB361" s="8"/>
      <c r="AC361" s="8"/>
      <c r="AD361" s="8"/>
      <c r="AE361" s="8"/>
      <c r="AF361" s="8"/>
      <c r="AG361" s="8"/>
      <c r="AH361" s="8"/>
      <c r="AI361" s="8"/>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c r="BP361" s="9"/>
      <c r="BQ361" s="9"/>
      <c r="BR361" s="9"/>
      <c r="BS361" s="9"/>
      <c r="BT361" s="9"/>
      <c r="BU361" s="9"/>
      <c r="BV361" s="9"/>
      <c r="BW361" s="9"/>
      <c r="BX361" s="9"/>
      <c r="BY361" s="9"/>
      <c r="BZ361" s="9"/>
      <c r="CA361" s="9"/>
      <c r="CB361" s="9"/>
      <c r="CC361" s="9"/>
      <c r="CD361" s="9"/>
      <c r="CE361" s="9"/>
      <c r="CF361" s="9"/>
      <c r="CG361" s="9"/>
      <c r="CH361" s="9"/>
      <c r="CI361" s="9"/>
      <c r="CJ361" s="9"/>
      <c r="CK361" s="9"/>
      <c r="CL361" s="9"/>
      <c r="CM361" s="9"/>
      <c r="CN361" s="9"/>
      <c r="CO361" s="9"/>
      <c r="CP361" s="9"/>
      <c r="CQ361" s="9"/>
      <c r="CR361" s="9"/>
      <c r="CS361" s="9"/>
      <c r="CT361" s="9"/>
      <c r="CU361" s="9"/>
      <c r="CV361" s="9"/>
      <c r="CW361" s="9"/>
      <c r="CX361" s="9"/>
      <c r="CY361" s="9"/>
      <c r="CZ361" s="9"/>
      <c r="DA361" s="9"/>
      <c r="DB361" s="9"/>
      <c r="DC361" s="9"/>
      <c r="DD361" s="9"/>
      <c r="DE361" s="9"/>
      <c r="DF361" s="9"/>
      <c r="DG361" s="9"/>
    </row>
    <row r="362" spans="1:111" ht="15.95" customHeight="1" x14ac:dyDescent="0.2">
      <c r="A362" s="127">
        <f t="shared" si="65"/>
        <v>282</v>
      </c>
      <c r="B362" s="112">
        <f t="shared" si="65"/>
        <v>8</v>
      </c>
      <c r="C362" s="116" t="s">
        <v>605</v>
      </c>
      <c r="D362" s="227" t="s">
        <v>606</v>
      </c>
      <c r="E362" s="116" t="s">
        <v>607</v>
      </c>
      <c r="F362" s="118"/>
      <c r="G362" s="160"/>
      <c r="H362" s="120">
        <v>80000000</v>
      </c>
      <c r="I362" s="179" t="s">
        <v>40</v>
      </c>
      <c r="J362" s="74">
        <f t="shared" si="63"/>
        <v>0</v>
      </c>
      <c r="K362" s="17">
        <f t="shared" si="64"/>
        <v>80000000</v>
      </c>
    </row>
    <row r="363" spans="1:111" ht="15.95" customHeight="1" x14ac:dyDescent="0.2">
      <c r="A363" s="127">
        <f t="shared" si="65"/>
        <v>283</v>
      </c>
      <c r="B363" s="112">
        <f t="shared" si="65"/>
        <v>9</v>
      </c>
      <c r="C363" s="116" t="s">
        <v>608</v>
      </c>
      <c r="D363" s="227" t="s">
        <v>609</v>
      </c>
      <c r="E363" s="116" t="s">
        <v>610</v>
      </c>
      <c r="F363" s="118">
        <v>180000000</v>
      </c>
      <c r="G363" s="160"/>
      <c r="H363" s="120"/>
      <c r="I363" s="179"/>
      <c r="J363" s="74">
        <f t="shared" si="63"/>
        <v>180000000</v>
      </c>
      <c r="K363" s="17">
        <f t="shared" si="64"/>
        <v>0</v>
      </c>
    </row>
    <row r="364" spans="1:111" s="24" customFormat="1" ht="15.95" customHeight="1" x14ac:dyDescent="0.2">
      <c r="A364" s="127">
        <f t="shared" si="65"/>
        <v>284</v>
      </c>
      <c r="B364" s="112">
        <f t="shared" si="65"/>
        <v>10</v>
      </c>
      <c r="C364" s="116" t="s">
        <v>611</v>
      </c>
      <c r="D364" s="227" t="s">
        <v>612</v>
      </c>
      <c r="E364" s="116" t="s">
        <v>610</v>
      </c>
      <c r="F364" s="118">
        <v>9850000</v>
      </c>
      <c r="G364" s="160"/>
      <c r="H364" s="120"/>
      <c r="I364" s="179"/>
      <c r="J364" s="74">
        <f t="shared" si="63"/>
        <v>9850000</v>
      </c>
      <c r="K364" s="17">
        <f t="shared" si="64"/>
        <v>0</v>
      </c>
      <c r="L364" s="11"/>
      <c r="M364" s="11"/>
      <c r="N364" s="11"/>
      <c r="O364" s="11"/>
      <c r="P364" s="11"/>
      <c r="Q364" s="11"/>
      <c r="R364" s="11"/>
      <c r="S364" s="8"/>
      <c r="T364" s="8"/>
      <c r="U364" s="8"/>
      <c r="V364" s="8"/>
      <c r="W364" s="8"/>
      <c r="X364" s="8"/>
      <c r="Y364" s="8"/>
      <c r="Z364" s="8"/>
      <c r="AA364" s="8"/>
      <c r="AB364" s="8"/>
      <c r="AC364" s="8"/>
      <c r="AD364" s="8"/>
      <c r="AE364" s="8"/>
      <c r="AF364" s="8"/>
      <c r="AG364" s="8"/>
      <c r="AH364" s="8"/>
      <c r="AI364" s="8"/>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c r="BP364" s="9"/>
      <c r="BQ364" s="9"/>
      <c r="BR364" s="9"/>
      <c r="BS364" s="9"/>
      <c r="BT364" s="9"/>
      <c r="BU364" s="9"/>
      <c r="BV364" s="9"/>
      <c r="BW364" s="9"/>
      <c r="BX364" s="9"/>
      <c r="BY364" s="9"/>
      <c r="BZ364" s="9"/>
      <c r="CA364" s="9"/>
      <c r="CB364" s="9"/>
      <c r="CC364" s="9"/>
      <c r="CD364" s="9"/>
      <c r="CE364" s="9"/>
      <c r="CF364" s="9"/>
      <c r="CG364" s="9"/>
      <c r="CH364" s="9"/>
      <c r="CI364" s="9"/>
      <c r="CJ364" s="9"/>
      <c r="CK364" s="9"/>
      <c r="CL364" s="9"/>
      <c r="CM364" s="9"/>
      <c r="CN364" s="9"/>
      <c r="CO364" s="9"/>
      <c r="CP364" s="9"/>
      <c r="CQ364" s="9"/>
      <c r="CR364" s="9"/>
      <c r="CS364" s="9"/>
      <c r="CT364" s="9"/>
      <c r="CU364" s="9"/>
      <c r="CV364" s="9"/>
      <c r="CW364" s="9"/>
      <c r="CX364" s="9"/>
      <c r="CY364" s="9"/>
      <c r="CZ364" s="9"/>
      <c r="DA364" s="9"/>
      <c r="DB364" s="9"/>
      <c r="DC364" s="9"/>
      <c r="DD364" s="9"/>
      <c r="DE364" s="9"/>
      <c r="DF364" s="9"/>
      <c r="DG364" s="9"/>
    </row>
    <row r="365" spans="1:111" s="24" customFormat="1" ht="15.95" customHeight="1" x14ac:dyDescent="0.2">
      <c r="A365" s="127">
        <f t="shared" si="65"/>
        <v>285</v>
      </c>
      <c r="B365" s="112">
        <f t="shared" si="65"/>
        <v>11</v>
      </c>
      <c r="C365" s="116" t="s">
        <v>611</v>
      </c>
      <c r="D365" s="227" t="s">
        <v>613</v>
      </c>
      <c r="E365" s="116" t="s">
        <v>610</v>
      </c>
      <c r="F365" s="118">
        <v>9700700</v>
      </c>
      <c r="G365" s="160"/>
      <c r="H365" s="120"/>
      <c r="I365" s="179"/>
      <c r="J365" s="74">
        <f t="shared" si="63"/>
        <v>9700700</v>
      </c>
      <c r="K365" s="17">
        <f t="shared" si="64"/>
        <v>0</v>
      </c>
      <c r="L365" s="11"/>
      <c r="M365" s="11"/>
      <c r="N365" s="11"/>
      <c r="O365" s="11"/>
      <c r="P365" s="11"/>
      <c r="Q365" s="11"/>
      <c r="R365" s="11"/>
      <c r="S365" s="8"/>
      <c r="T365" s="8"/>
      <c r="U365" s="8"/>
      <c r="V365" s="8"/>
      <c r="W365" s="8"/>
      <c r="X365" s="8"/>
      <c r="Y365" s="8"/>
      <c r="Z365" s="8"/>
      <c r="AA365" s="8"/>
      <c r="AB365" s="8"/>
      <c r="AC365" s="8"/>
      <c r="AD365" s="8"/>
      <c r="AE365" s="8"/>
      <c r="AF365" s="8"/>
      <c r="AG365" s="8"/>
      <c r="AH365" s="8"/>
      <c r="AI365" s="8"/>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c r="BP365" s="9"/>
      <c r="BQ365" s="9"/>
      <c r="BR365" s="9"/>
      <c r="BS365" s="9"/>
      <c r="BT365" s="9"/>
      <c r="BU365" s="9"/>
      <c r="BV365" s="9"/>
      <c r="BW365" s="9"/>
      <c r="BX365" s="9"/>
      <c r="BY365" s="9"/>
      <c r="BZ365" s="9"/>
      <c r="CA365" s="9"/>
      <c r="CB365" s="9"/>
      <c r="CC365" s="9"/>
      <c r="CD365" s="9"/>
      <c r="CE365" s="9"/>
      <c r="CF365" s="9"/>
      <c r="CG365" s="9"/>
      <c r="CH365" s="9"/>
      <c r="CI365" s="9"/>
      <c r="CJ365" s="9"/>
      <c r="CK365" s="9"/>
      <c r="CL365" s="9"/>
      <c r="CM365" s="9"/>
      <c r="CN365" s="9"/>
      <c r="CO365" s="9"/>
      <c r="CP365" s="9"/>
      <c r="CQ365" s="9"/>
      <c r="CR365" s="9"/>
      <c r="CS365" s="9"/>
      <c r="CT365" s="9"/>
      <c r="CU365" s="9"/>
      <c r="CV365" s="9"/>
      <c r="CW365" s="9"/>
      <c r="CX365" s="9"/>
      <c r="CY365" s="9"/>
      <c r="CZ365" s="9"/>
      <c r="DA365" s="9"/>
      <c r="DB365" s="9"/>
      <c r="DC365" s="9"/>
      <c r="DD365" s="9"/>
      <c r="DE365" s="9"/>
      <c r="DF365" s="9"/>
      <c r="DG365" s="9"/>
    </row>
    <row r="366" spans="1:111" s="31" customFormat="1" ht="15.95" customHeight="1" x14ac:dyDescent="0.2">
      <c r="A366" s="127">
        <f t="shared" si="65"/>
        <v>286</v>
      </c>
      <c r="B366" s="112">
        <f t="shared" si="65"/>
        <v>12</v>
      </c>
      <c r="C366" s="116" t="s">
        <v>614</v>
      </c>
      <c r="D366" s="227" t="s">
        <v>615</v>
      </c>
      <c r="E366" s="116" t="s">
        <v>23</v>
      </c>
      <c r="F366" s="118"/>
      <c r="G366" s="160"/>
      <c r="H366" s="120">
        <f>1449000000-349000000</f>
        <v>1100000000</v>
      </c>
      <c r="I366" s="179" t="s">
        <v>40</v>
      </c>
      <c r="J366" s="74">
        <f t="shared" si="63"/>
        <v>0</v>
      </c>
      <c r="K366" s="17">
        <f t="shared" si="64"/>
        <v>1100000000</v>
      </c>
      <c r="L366" s="11"/>
      <c r="M366" s="11"/>
      <c r="N366" s="11"/>
      <c r="O366" s="11"/>
      <c r="P366" s="11"/>
      <c r="Q366" s="11"/>
      <c r="R366" s="11"/>
      <c r="S366" s="8"/>
      <c r="T366" s="8"/>
      <c r="U366" s="8"/>
      <c r="V366" s="8"/>
      <c r="W366" s="8"/>
      <c r="X366" s="8"/>
      <c r="Y366" s="8"/>
      <c r="Z366" s="8"/>
      <c r="AA366" s="8"/>
      <c r="AB366" s="8"/>
      <c r="AC366" s="8"/>
      <c r="AD366" s="8"/>
      <c r="AE366" s="8"/>
      <c r="AF366" s="8"/>
      <c r="AG366" s="8"/>
      <c r="AH366" s="8"/>
      <c r="AI366" s="8"/>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c r="BP366" s="9"/>
      <c r="BQ366" s="9"/>
      <c r="BR366" s="9"/>
      <c r="BS366" s="9"/>
      <c r="BT366" s="9"/>
      <c r="BU366" s="9"/>
      <c r="BV366" s="9"/>
      <c r="BW366" s="9"/>
      <c r="BX366" s="9"/>
      <c r="BY366" s="9"/>
      <c r="BZ366" s="9"/>
      <c r="CA366" s="9"/>
      <c r="CB366" s="9"/>
      <c r="CC366" s="9"/>
      <c r="CD366" s="9"/>
      <c r="CE366" s="9"/>
      <c r="CF366" s="9"/>
      <c r="CG366" s="9"/>
      <c r="CH366" s="9"/>
      <c r="CI366" s="9"/>
      <c r="CJ366" s="9"/>
      <c r="CK366" s="9"/>
      <c r="CL366" s="9"/>
      <c r="CM366" s="9"/>
      <c r="CN366" s="9"/>
      <c r="CO366" s="9"/>
      <c r="CP366" s="9"/>
      <c r="CQ366" s="9"/>
      <c r="CR366" s="9"/>
      <c r="CS366" s="9"/>
      <c r="CT366" s="9"/>
      <c r="CU366" s="9"/>
      <c r="CV366" s="9"/>
      <c r="CW366" s="9"/>
      <c r="CX366" s="9"/>
      <c r="CY366" s="9"/>
      <c r="CZ366" s="9"/>
      <c r="DA366" s="9"/>
      <c r="DB366" s="9"/>
      <c r="DC366" s="9"/>
      <c r="DD366" s="9"/>
      <c r="DE366" s="9"/>
      <c r="DF366" s="9"/>
      <c r="DG366" s="9"/>
    </row>
    <row r="367" spans="1:111" s="26" customFormat="1" ht="15.95" customHeight="1" x14ac:dyDescent="0.2">
      <c r="A367" s="127">
        <f t="shared" si="65"/>
        <v>287</v>
      </c>
      <c r="B367" s="112">
        <f t="shared" si="65"/>
        <v>13</v>
      </c>
      <c r="C367" s="116" t="s">
        <v>616</v>
      </c>
      <c r="D367" s="227" t="s">
        <v>617</v>
      </c>
      <c r="E367" s="116" t="s">
        <v>32</v>
      </c>
      <c r="F367" s="118"/>
      <c r="G367" s="160"/>
      <c r="H367" s="120">
        <v>1214000000</v>
      </c>
      <c r="I367" s="179" t="s">
        <v>40</v>
      </c>
      <c r="J367" s="74">
        <f t="shared" si="63"/>
        <v>0</v>
      </c>
      <c r="K367" s="17">
        <f t="shared" si="64"/>
        <v>1214000000</v>
      </c>
      <c r="L367" s="11"/>
      <c r="M367" s="11"/>
      <c r="N367" s="11"/>
      <c r="O367" s="11"/>
      <c r="P367" s="11"/>
      <c r="Q367" s="11"/>
      <c r="R367" s="11"/>
      <c r="S367" s="8"/>
      <c r="T367" s="8"/>
      <c r="U367" s="8"/>
      <c r="V367" s="8"/>
      <c r="W367" s="8"/>
      <c r="X367" s="8"/>
      <c r="Y367" s="8"/>
      <c r="Z367" s="8"/>
      <c r="AA367" s="8"/>
      <c r="AB367" s="8"/>
      <c r="AC367" s="8"/>
      <c r="AD367" s="8"/>
      <c r="AE367" s="8"/>
      <c r="AF367" s="8"/>
      <c r="AG367" s="8"/>
      <c r="AH367" s="8"/>
      <c r="AI367" s="8"/>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c r="CI367" s="9"/>
      <c r="CJ367" s="9"/>
      <c r="CK367" s="9"/>
      <c r="CL367" s="9"/>
      <c r="CM367" s="9"/>
      <c r="CN367" s="9"/>
      <c r="CO367" s="9"/>
      <c r="CP367" s="9"/>
      <c r="CQ367" s="9"/>
      <c r="CR367" s="9"/>
      <c r="CS367" s="9"/>
      <c r="CT367" s="9"/>
      <c r="CU367" s="9"/>
      <c r="CV367" s="9"/>
      <c r="CW367" s="9"/>
      <c r="CX367" s="9"/>
      <c r="CY367" s="9"/>
      <c r="CZ367" s="9"/>
      <c r="DA367" s="9"/>
      <c r="DB367" s="9"/>
      <c r="DC367" s="9"/>
      <c r="DD367" s="9"/>
      <c r="DE367" s="9"/>
      <c r="DF367" s="9"/>
      <c r="DG367" s="9"/>
    </row>
    <row r="368" spans="1:111" s="25" customFormat="1" ht="15.95" customHeight="1" x14ac:dyDescent="0.2">
      <c r="A368" s="127">
        <f t="shared" si="65"/>
        <v>288</v>
      </c>
      <c r="B368" s="112">
        <f t="shared" si="65"/>
        <v>14</v>
      </c>
      <c r="C368" s="116" t="s">
        <v>618</v>
      </c>
      <c r="D368" s="227" t="s">
        <v>619</v>
      </c>
      <c r="E368" s="116" t="s">
        <v>610</v>
      </c>
      <c r="F368" s="118">
        <v>10301000</v>
      </c>
      <c r="G368" s="160"/>
      <c r="H368" s="120"/>
      <c r="I368" s="179"/>
      <c r="J368" s="74">
        <f t="shared" si="63"/>
        <v>10301000</v>
      </c>
      <c r="K368" s="17">
        <f t="shared" si="64"/>
        <v>0</v>
      </c>
      <c r="L368" s="11"/>
      <c r="M368" s="11"/>
      <c r="N368" s="11"/>
      <c r="O368" s="11"/>
      <c r="P368" s="11"/>
      <c r="Q368" s="11"/>
      <c r="R368" s="11"/>
      <c r="S368" s="8"/>
      <c r="T368" s="8"/>
      <c r="U368" s="8"/>
      <c r="V368" s="8"/>
      <c r="W368" s="8"/>
      <c r="X368" s="8"/>
      <c r="Y368" s="8"/>
      <c r="Z368" s="8"/>
      <c r="AA368" s="8"/>
      <c r="AB368" s="8"/>
      <c r="AC368" s="8"/>
      <c r="AD368" s="8"/>
      <c r="AE368" s="8"/>
      <c r="AF368" s="8"/>
      <c r="AG368" s="8"/>
      <c r="AH368" s="8"/>
      <c r="AI368" s="8"/>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c r="CI368" s="9"/>
      <c r="CJ368" s="9"/>
      <c r="CK368" s="9"/>
      <c r="CL368" s="9"/>
      <c r="CM368" s="9"/>
      <c r="CN368" s="9"/>
      <c r="CO368" s="9"/>
      <c r="CP368" s="9"/>
      <c r="CQ368" s="9"/>
      <c r="CR368" s="9"/>
      <c r="CS368" s="9"/>
      <c r="CT368" s="9"/>
      <c r="CU368" s="9"/>
      <c r="CV368" s="9"/>
      <c r="CW368" s="9"/>
      <c r="CX368" s="9"/>
      <c r="CY368" s="9"/>
      <c r="CZ368" s="9"/>
      <c r="DA368" s="9"/>
      <c r="DB368" s="9"/>
      <c r="DC368" s="9"/>
      <c r="DD368" s="9"/>
      <c r="DE368" s="9"/>
      <c r="DF368" s="9"/>
      <c r="DG368" s="9"/>
    </row>
    <row r="369" spans="1:111" s="25" customFormat="1" ht="25.5" customHeight="1" x14ac:dyDescent="0.2">
      <c r="A369" s="127">
        <f t="shared" si="65"/>
        <v>289</v>
      </c>
      <c r="B369" s="112">
        <f t="shared" si="65"/>
        <v>15</v>
      </c>
      <c r="C369" s="116" t="s">
        <v>620</v>
      </c>
      <c r="D369" s="227" t="s">
        <v>621</v>
      </c>
      <c r="E369" s="116" t="s">
        <v>104</v>
      </c>
      <c r="F369" s="118"/>
      <c r="G369" s="160"/>
      <c r="H369" s="120">
        <v>65400000</v>
      </c>
      <c r="I369" s="179" t="s">
        <v>40</v>
      </c>
      <c r="J369" s="74">
        <f t="shared" si="63"/>
        <v>0</v>
      </c>
      <c r="K369" s="17">
        <f t="shared" si="64"/>
        <v>65400000</v>
      </c>
      <c r="L369" s="11"/>
      <c r="M369" s="11"/>
      <c r="N369" s="11"/>
      <c r="O369" s="11"/>
      <c r="P369" s="11"/>
      <c r="Q369" s="11"/>
      <c r="R369" s="11"/>
      <c r="S369" s="8"/>
      <c r="T369" s="8"/>
      <c r="U369" s="8"/>
      <c r="V369" s="8"/>
      <c r="W369" s="8"/>
      <c r="X369" s="8"/>
      <c r="Y369" s="8"/>
      <c r="Z369" s="8"/>
      <c r="AA369" s="8"/>
      <c r="AB369" s="8"/>
      <c r="AC369" s="8"/>
      <c r="AD369" s="8"/>
      <c r="AE369" s="8"/>
      <c r="AF369" s="8"/>
      <c r="AG369" s="8"/>
      <c r="AH369" s="8"/>
      <c r="AI369" s="8"/>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9"/>
      <c r="CH369" s="9"/>
      <c r="CI369" s="9"/>
      <c r="CJ369" s="9"/>
      <c r="CK369" s="9"/>
      <c r="CL369" s="9"/>
      <c r="CM369" s="9"/>
      <c r="CN369" s="9"/>
      <c r="CO369" s="9"/>
      <c r="CP369" s="9"/>
      <c r="CQ369" s="9"/>
      <c r="CR369" s="9"/>
      <c r="CS369" s="9"/>
      <c r="CT369" s="9"/>
      <c r="CU369" s="9"/>
      <c r="CV369" s="9"/>
      <c r="CW369" s="9"/>
      <c r="CX369" s="9"/>
      <c r="CY369" s="9"/>
      <c r="CZ369" s="9"/>
      <c r="DA369" s="9"/>
      <c r="DB369" s="9"/>
      <c r="DC369" s="9"/>
      <c r="DD369" s="9"/>
      <c r="DE369" s="9"/>
      <c r="DF369" s="9"/>
      <c r="DG369" s="9"/>
    </row>
    <row r="370" spans="1:111" s="26" customFormat="1" ht="15.95" customHeight="1" x14ac:dyDescent="0.2">
      <c r="A370" s="127">
        <f t="shared" si="65"/>
        <v>290</v>
      </c>
      <c r="B370" s="112">
        <f t="shared" si="65"/>
        <v>16</v>
      </c>
      <c r="C370" s="116" t="s">
        <v>622</v>
      </c>
      <c r="D370" s="227" t="s">
        <v>623</v>
      </c>
      <c r="E370" s="116" t="s">
        <v>32</v>
      </c>
      <c r="F370" s="118"/>
      <c r="G370" s="160"/>
      <c r="H370" s="120">
        <f>73070000/1.19</f>
        <v>61403361.344537817</v>
      </c>
      <c r="I370" s="179"/>
      <c r="J370" s="74">
        <f t="shared" si="63"/>
        <v>0</v>
      </c>
      <c r="K370" s="17">
        <f t="shared" si="64"/>
        <v>61403361.344537817</v>
      </c>
      <c r="L370" s="11"/>
      <c r="M370" s="11"/>
      <c r="N370" s="11"/>
      <c r="O370" s="11"/>
      <c r="P370" s="11"/>
      <c r="Q370" s="11"/>
      <c r="R370" s="11"/>
      <c r="S370" s="8"/>
      <c r="T370" s="8"/>
      <c r="U370" s="8"/>
      <c r="V370" s="8"/>
      <c r="W370" s="8"/>
      <c r="X370" s="8"/>
      <c r="Y370" s="8"/>
      <c r="Z370" s="8"/>
      <c r="AA370" s="8"/>
      <c r="AB370" s="8"/>
      <c r="AC370" s="8"/>
      <c r="AD370" s="8"/>
      <c r="AE370" s="8"/>
      <c r="AF370" s="8"/>
      <c r="AG370" s="8"/>
      <c r="AH370" s="8"/>
      <c r="AI370" s="8"/>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c r="BP370" s="9"/>
      <c r="BQ370" s="9"/>
      <c r="BR370" s="9"/>
      <c r="BS370" s="9"/>
      <c r="BT370" s="9"/>
      <c r="BU370" s="9"/>
      <c r="BV370" s="9"/>
      <c r="BW370" s="9"/>
      <c r="BX370" s="9"/>
      <c r="BY370" s="9"/>
      <c r="BZ370" s="9"/>
      <c r="CA370" s="9"/>
      <c r="CB370" s="9"/>
      <c r="CC370" s="9"/>
      <c r="CD370" s="9"/>
      <c r="CE370" s="9"/>
      <c r="CF370" s="9"/>
      <c r="CG370" s="9"/>
      <c r="CH370" s="9"/>
      <c r="CI370" s="9"/>
      <c r="CJ370" s="9"/>
      <c r="CK370" s="9"/>
      <c r="CL370" s="9"/>
      <c r="CM370" s="9"/>
      <c r="CN370" s="9"/>
      <c r="CO370" s="9"/>
      <c r="CP370" s="9"/>
      <c r="CQ370" s="9"/>
      <c r="CR370" s="9"/>
      <c r="CS370" s="9"/>
      <c r="CT370" s="9"/>
      <c r="CU370" s="9"/>
      <c r="CV370" s="9"/>
      <c r="CW370" s="9"/>
      <c r="CX370" s="9"/>
      <c r="CY370" s="9"/>
      <c r="CZ370" s="9"/>
      <c r="DA370" s="9"/>
      <c r="DB370" s="9"/>
      <c r="DC370" s="9"/>
      <c r="DD370" s="9"/>
      <c r="DE370" s="9"/>
      <c r="DF370" s="9"/>
      <c r="DG370" s="9"/>
    </row>
    <row r="371" spans="1:111" ht="19.5" customHeight="1" x14ac:dyDescent="0.2">
      <c r="A371" s="127">
        <f t="shared" si="65"/>
        <v>291</v>
      </c>
      <c r="B371" s="112">
        <f t="shared" si="65"/>
        <v>17</v>
      </c>
      <c r="C371" s="116" t="s">
        <v>624</v>
      </c>
      <c r="D371" s="227" t="s">
        <v>625</v>
      </c>
      <c r="E371" s="116" t="s">
        <v>104</v>
      </c>
      <c r="F371" s="118">
        <f>241576000+270516.1+13255288.76+75433.86+3696259.36</f>
        <v>258873498.08000001</v>
      </c>
      <c r="G371" s="160"/>
      <c r="H371" s="120">
        <v>10500000</v>
      </c>
      <c r="I371" s="179"/>
      <c r="J371" s="74"/>
      <c r="K371" s="17"/>
    </row>
    <row r="372" spans="1:111" s="26" customFormat="1" ht="15.95" customHeight="1" x14ac:dyDescent="0.2">
      <c r="A372" s="127">
        <f t="shared" si="65"/>
        <v>292</v>
      </c>
      <c r="B372" s="112">
        <f t="shared" si="65"/>
        <v>18</v>
      </c>
      <c r="C372" s="116" t="s">
        <v>626</v>
      </c>
      <c r="D372" s="227" t="s">
        <v>627</v>
      </c>
      <c r="E372" s="116" t="s">
        <v>137</v>
      </c>
      <c r="F372" s="118"/>
      <c r="G372" s="160"/>
      <c r="H372" s="120">
        <f>(188+840+806+958+740+230+600+230+650)*1000</f>
        <v>5242000</v>
      </c>
      <c r="I372" s="179"/>
      <c r="J372" s="74">
        <f t="shared" si="63"/>
        <v>0</v>
      </c>
      <c r="K372" s="17">
        <f t="shared" si="64"/>
        <v>5242000</v>
      </c>
      <c r="L372" s="11"/>
      <c r="M372" s="11"/>
      <c r="N372" s="11"/>
      <c r="O372" s="11"/>
      <c r="P372" s="11"/>
      <c r="Q372" s="11"/>
      <c r="R372" s="11"/>
      <c r="S372" s="8"/>
      <c r="T372" s="8"/>
      <c r="U372" s="8"/>
      <c r="V372" s="8"/>
      <c r="W372" s="8"/>
      <c r="X372" s="8"/>
      <c r="Y372" s="8"/>
      <c r="Z372" s="8"/>
      <c r="AA372" s="8"/>
      <c r="AB372" s="8"/>
      <c r="AC372" s="8"/>
      <c r="AD372" s="8"/>
      <c r="AE372" s="8"/>
      <c r="AF372" s="8"/>
      <c r="AG372" s="8"/>
      <c r="AH372" s="8"/>
      <c r="AI372" s="8"/>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c r="CI372" s="9"/>
      <c r="CJ372" s="9"/>
      <c r="CK372" s="9"/>
      <c r="CL372" s="9"/>
      <c r="CM372" s="9"/>
      <c r="CN372" s="9"/>
      <c r="CO372" s="9"/>
      <c r="CP372" s="9"/>
      <c r="CQ372" s="9"/>
      <c r="CR372" s="9"/>
      <c r="CS372" s="9"/>
      <c r="CT372" s="9"/>
      <c r="CU372" s="9"/>
      <c r="CV372" s="9"/>
      <c r="CW372" s="9"/>
      <c r="CX372" s="9"/>
      <c r="CY372" s="9"/>
      <c r="CZ372" s="9"/>
      <c r="DA372" s="9"/>
      <c r="DB372" s="9"/>
      <c r="DC372" s="9"/>
      <c r="DD372" s="9"/>
      <c r="DE372" s="9"/>
      <c r="DF372" s="9"/>
      <c r="DG372" s="9"/>
    </row>
    <row r="373" spans="1:111" ht="15.95" customHeight="1" x14ac:dyDescent="0.2">
      <c r="A373" s="127">
        <f t="shared" si="65"/>
        <v>293</v>
      </c>
      <c r="B373" s="112">
        <f t="shared" si="65"/>
        <v>19</v>
      </c>
      <c r="C373" s="116" t="s">
        <v>628</v>
      </c>
      <c r="D373" s="227" t="s">
        <v>629</v>
      </c>
      <c r="E373" s="116" t="s">
        <v>90</v>
      </c>
      <c r="F373" s="118"/>
      <c r="G373" s="160"/>
      <c r="H373" s="120">
        <v>184800000</v>
      </c>
      <c r="I373" s="179"/>
      <c r="J373" s="74">
        <f t="shared" si="63"/>
        <v>0</v>
      </c>
      <c r="K373" s="17">
        <f t="shared" si="64"/>
        <v>184800000</v>
      </c>
    </row>
    <row r="374" spans="1:111" ht="15.95" customHeight="1" x14ac:dyDescent="0.2">
      <c r="A374" s="127">
        <f t="shared" si="65"/>
        <v>294</v>
      </c>
      <c r="B374" s="112">
        <f t="shared" si="65"/>
        <v>20</v>
      </c>
      <c r="C374" s="116" t="s">
        <v>630</v>
      </c>
      <c r="D374" s="227" t="s">
        <v>631</v>
      </c>
      <c r="E374" s="116" t="s">
        <v>610</v>
      </c>
      <c r="F374" s="118">
        <v>21100000</v>
      </c>
      <c r="G374" s="160"/>
      <c r="H374" s="120">
        <v>11250000</v>
      </c>
      <c r="I374" s="179"/>
      <c r="J374" s="74">
        <f t="shared" si="63"/>
        <v>21100000</v>
      </c>
      <c r="K374" s="17">
        <f t="shared" si="64"/>
        <v>11250000</v>
      </c>
      <c r="L374" s="8"/>
      <c r="M374" s="8"/>
      <c r="N374" s="8"/>
      <c r="O374" s="8"/>
      <c r="P374" s="8"/>
      <c r="Q374" s="8"/>
      <c r="R374" s="8"/>
    </row>
    <row r="375" spans="1:111" ht="15.95" customHeight="1" x14ac:dyDescent="0.2">
      <c r="A375" s="127">
        <f t="shared" si="65"/>
        <v>295</v>
      </c>
      <c r="B375" s="112">
        <f t="shared" si="65"/>
        <v>21</v>
      </c>
      <c r="C375" s="116" t="s">
        <v>632</v>
      </c>
      <c r="D375" s="227" t="s">
        <v>633</v>
      </c>
      <c r="E375" s="116" t="s">
        <v>32</v>
      </c>
      <c r="F375" s="118"/>
      <c r="G375" s="160"/>
      <c r="H375" s="120">
        <f>218830000/1.19</f>
        <v>183890756.30252102</v>
      </c>
      <c r="I375" s="179"/>
      <c r="J375" s="74">
        <f t="shared" si="63"/>
        <v>0</v>
      </c>
      <c r="K375" s="17">
        <f t="shared" si="64"/>
        <v>183890756.30252102</v>
      </c>
      <c r="L375" s="8"/>
      <c r="M375" s="8"/>
      <c r="N375" s="8"/>
      <c r="O375" s="8"/>
      <c r="P375" s="8"/>
      <c r="Q375" s="8"/>
      <c r="R375" s="8"/>
    </row>
    <row r="376" spans="1:111" ht="15.95" customHeight="1" x14ac:dyDescent="0.2">
      <c r="A376" s="127">
        <f t="shared" si="65"/>
        <v>296</v>
      </c>
      <c r="B376" s="112">
        <f t="shared" si="65"/>
        <v>22</v>
      </c>
      <c r="C376" s="116" t="s">
        <v>634</v>
      </c>
      <c r="D376" s="227" t="s">
        <v>635</v>
      </c>
      <c r="E376" s="116" t="s">
        <v>32</v>
      </c>
      <c r="F376" s="118"/>
      <c r="G376" s="160"/>
      <c r="H376" s="120">
        <f>810073000/1.19</f>
        <v>680733613.44537818</v>
      </c>
      <c r="I376" s="179"/>
      <c r="J376" s="74">
        <f t="shared" si="63"/>
        <v>0</v>
      </c>
      <c r="K376" s="17">
        <f t="shared" si="64"/>
        <v>680733613.44537818</v>
      </c>
      <c r="L376" s="8"/>
      <c r="M376" s="8"/>
      <c r="N376" s="8"/>
      <c r="O376" s="8"/>
      <c r="P376" s="8"/>
      <c r="Q376" s="8"/>
      <c r="R376" s="8"/>
    </row>
    <row r="377" spans="1:111" ht="33.75" customHeight="1" x14ac:dyDescent="0.2">
      <c r="A377" s="127">
        <f t="shared" si="65"/>
        <v>297</v>
      </c>
      <c r="B377" s="112">
        <f t="shared" si="65"/>
        <v>23</v>
      </c>
      <c r="C377" s="116" t="s">
        <v>636</v>
      </c>
      <c r="D377" s="227" t="s">
        <v>637</v>
      </c>
      <c r="E377" s="116" t="s">
        <v>32</v>
      </c>
      <c r="F377" s="118"/>
      <c r="G377" s="160"/>
      <c r="H377" s="120">
        <f>228590000/1.19</f>
        <v>192092436.97478992</v>
      </c>
      <c r="I377" s="179"/>
      <c r="J377" s="74">
        <f t="shared" si="63"/>
        <v>0</v>
      </c>
      <c r="K377" s="17">
        <f t="shared" si="64"/>
        <v>192092436.97478992</v>
      </c>
      <c r="L377" s="8"/>
      <c r="M377" s="8"/>
      <c r="N377" s="8"/>
      <c r="O377" s="8"/>
      <c r="P377" s="8"/>
      <c r="Q377" s="8"/>
      <c r="R377" s="8"/>
    </row>
    <row r="378" spans="1:111" ht="15.95" customHeight="1" x14ac:dyDescent="0.2">
      <c r="A378" s="127">
        <f t="shared" si="65"/>
        <v>298</v>
      </c>
      <c r="B378" s="112">
        <f t="shared" si="65"/>
        <v>24</v>
      </c>
      <c r="C378" s="116" t="s">
        <v>638</v>
      </c>
      <c r="D378" s="227" t="s">
        <v>639</v>
      </c>
      <c r="E378" s="116" t="s">
        <v>607</v>
      </c>
      <c r="F378" s="118"/>
      <c r="G378" s="160"/>
      <c r="H378" s="120">
        <v>73000000</v>
      </c>
      <c r="I378" s="179"/>
      <c r="J378" s="74">
        <f t="shared" si="63"/>
        <v>0</v>
      </c>
      <c r="K378" s="17">
        <f t="shared" si="64"/>
        <v>73000000</v>
      </c>
      <c r="L378" s="8"/>
      <c r="M378" s="8"/>
      <c r="N378" s="8"/>
      <c r="O378" s="8"/>
      <c r="P378" s="8"/>
      <c r="Q378" s="8"/>
      <c r="R378" s="8"/>
    </row>
    <row r="379" spans="1:111" ht="21" customHeight="1" x14ac:dyDescent="0.2">
      <c r="A379" s="99">
        <f>A378+1</f>
        <v>299</v>
      </c>
      <c r="B379" s="100">
        <f>B378+1</f>
        <v>25</v>
      </c>
      <c r="C379" s="103" t="s">
        <v>512</v>
      </c>
      <c r="D379" s="223" t="s">
        <v>640</v>
      </c>
      <c r="E379" s="103" t="s">
        <v>610</v>
      </c>
      <c r="F379" s="209"/>
      <c r="G379" s="210"/>
      <c r="H379" s="105">
        <v>4950000</v>
      </c>
      <c r="I379" s="176" t="s">
        <v>641</v>
      </c>
      <c r="J379" s="211"/>
      <c r="K379" s="212"/>
      <c r="L379" s="8"/>
      <c r="M379" s="8"/>
      <c r="N379" s="8"/>
      <c r="O379" s="8"/>
      <c r="P379" s="8"/>
      <c r="Q379" s="8"/>
      <c r="R379" s="8"/>
    </row>
    <row r="380" spans="1:111" ht="24.75" customHeight="1" x14ac:dyDescent="0.2">
      <c r="A380" s="99">
        <f t="shared" ref="A380:A434" si="66">A379+1</f>
        <v>300</v>
      </c>
      <c r="B380" s="100">
        <f t="shared" ref="B380:B436" si="67">B379+1</f>
        <v>26</v>
      </c>
      <c r="C380" s="116" t="s">
        <v>642</v>
      </c>
      <c r="D380" s="227" t="s">
        <v>643</v>
      </c>
      <c r="E380" s="116" t="s">
        <v>603</v>
      </c>
      <c r="F380" s="118"/>
      <c r="G380" s="160"/>
      <c r="H380" s="120">
        <v>617000000</v>
      </c>
      <c r="I380" s="179"/>
      <c r="J380" s="74">
        <f t="shared" si="63"/>
        <v>0</v>
      </c>
      <c r="K380" s="17">
        <f t="shared" si="64"/>
        <v>617000000</v>
      </c>
      <c r="L380" s="8"/>
      <c r="M380" s="8"/>
      <c r="N380" s="8"/>
      <c r="O380" s="8"/>
      <c r="P380" s="8"/>
      <c r="Q380" s="8"/>
      <c r="R380" s="8"/>
    </row>
    <row r="381" spans="1:111" ht="15.95" customHeight="1" x14ac:dyDescent="0.2">
      <c r="A381" s="99">
        <f t="shared" si="66"/>
        <v>301</v>
      </c>
      <c r="B381" s="100">
        <f t="shared" si="67"/>
        <v>27</v>
      </c>
      <c r="C381" s="116" t="s">
        <v>644</v>
      </c>
      <c r="D381" s="227" t="s">
        <v>645</v>
      </c>
      <c r="E381" s="116" t="s">
        <v>32</v>
      </c>
      <c r="F381" s="118"/>
      <c r="G381" s="160"/>
      <c r="H381" s="120">
        <v>95994894</v>
      </c>
      <c r="I381" s="179"/>
      <c r="J381" s="74">
        <f t="shared" si="63"/>
        <v>0</v>
      </c>
      <c r="K381" s="17">
        <f t="shared" si="64"/>
        <v>95994894</v>
      </c>
      <c r="L381" s="8"/>
      <c r="M381" s="8"/>
      <c r="N381" s="8"/>
      <c r="O381" s="8"/>
      <c r="P381" s="8"/>
      <c r="Q381" s="8"/>
      <c r="R381" s="8"/>
    </row>
    <row r="382" spans="1:111" ht="15.95" customHeight="1" x14ac:dyDescent="0.2">
      <c r="A382" s="99">
        <f t="shared" si="66"/>
        <v>302</v>
      </c>
      <c r="B382" s="100">
        <f t="shared" si="67"/>
        <v>28</v>
      </c>
      <c r="C382" s="116" t="s">
        <v>646</v>
      </c>
      <c r="D382" s="227" t="s">
        <v>647</v>
      </c>
      <c r="E382" s="116" t="s">
        <v>32</v>
      </c>
      <c r="F382" s="118"/>
      <c r="G382" s="160"/>
      <c r="H382" s="120">
        <f>31131833.31/1.19</f>
        <v>26161204.462184872</v>
      </c>
      <c r="I382" s="179"/>
      <c r="J382" s="74">
        <f t="shared" si="63"/>
        <v>0</v>
      </c>
      <c r="K382" s="17">
        <f t="shared" si="64"/>
        <v>26161204.462184872</v>
      </c>
      <c r="L382" s="8"/>
      <c r="M382" s="8"/>
      <c r="N382" s="8"/>
      <c r="O382" s="8"/>
      <c r="P382" s="8"/>
      <c r="Q382" s="8"/>
      <c r="R382" s="8"/>
    </row>
    <row r="383" spans="1:111" ht="15.95" customHeight="1" x14ac:dyDescent="0.2">
      <c r="A383" s="99">
        <f t="shared" si="66"/>
        <v>303</v>
      </c>
      <c r="B383" s="100">
        <f t="shared" si="67"/>
        <v>29</v>
      </c>
      <c r="C383" s="116" t="s">
        <v>648</v>
      </c>
      <c r="D383" s="227" t="s">
        <v>649</v>
      </c>
      <c r="E383" s="116" t="s">
        <v>610</v>
      </c>
      <c r="F383" s="118">
        <v>22220000</v>
      </c>
      <c r="G383" s="160"/>
      <c r="H383" s="120"/>
      <c r="I383" s="179"/>
      <c r="J383" s="74">
        <f>+F384</f>
        <v>27000000</v>
      </c>
      <c r="K383" s="17">
        <f>+H384</f>
        <v>0</v>
      </c>
      <c r="L383" s="8"/>
      <c r="M383" s="8"/>
      <c r="N383" s="8"/>
      <c r="O383" s="8"/>
      <c r="P383" s="8"/>
      <c r="Q383" s="8"/>
      <c r="R383" s="8"/>
    </row>
    <row r="384" spans="1:111" ht="15.95" customHeight="1" x14ac:dyDescent="0.2">
      <c r="A384" s="99">
        <f t="shared" si="66"/>
        <v>304</v>
      </c>
      <c r="B384" s="100">
        <f t="shared" si="67"/>
        <v>30</v>
      </c>
      <c r="C384" s="116" t="s">
        <v>648</v>
      </c>
      <c r="D384" s="227" t="s">
        <v>650</v>
      </c>
      <c r="E384" s="116" t="s">
        <v>610</v>
      </c>
      <c r="F384" s="118">
        <v>27000000</v>
      </c>
      <c r="G384" s="160"/>
      <c r="H384" s="120"/>
      <c r="I384" s="179"/>
      <c r="J384" s="74"/>
      <c r="K384" s="17"/>
      <c r="L384" s="8"/>
      <c r="M384" s="8"/>
      <c r="N384" s="8"/>
      <c r="O384" s="8"/>
      <c r="P384" s="8"/>
      <c r="Q384" s="8"/>
      <c r="R384" s="8"/>
    </row>
    <row r="385" spans="1:18" ht="15.95" customHeight="1" x14ac:dyDescent="0.2">
      <c r="A385" s="99">
        <f t="shared" si="66"/>
        <v>305</v>
      </c>
      <c r="B385" s="100">
        <f t="shared" si="67"/>
        <v>31</v>
      </c>
      <c r="C385" s="116" t="s">
        <v>532</v>
      </c>
      <c r="D385" s="227" t="s">
        <v>651</v>
      </c>
      <c r="E385" s="116" t="s">
        <v>32</v>
      </c>
      <c r="F385" s="118"/>
      <c r="G385" s="160"/>
      <c r="H385" s="120">
        <f>282265114/1.19</f>
        <v>237197574.78991598</v>
      </c>
      <c r="I385" s="179"/>
      <c r="J385" s="74">
        <f t="shared" si="63"/>
        <v>0</v>
      </c>
      <c r="K385" s="17">
        <f t="shared" si="64"/>
        <v>237197574.78991598</v>
      </c>
      <c r="L385" s="8"/>
      <c r="M385" s="8"/>
      <c r="N385" s="8"/>
      <c r="O385" s="8"/>
      <c r="P385" s="8"/>
      <c r="Q385" s="8"/>
      <c r="R385" s="8"/>
    </row>
    <row r="386" spans="1:18" ht="24" customHeight="1" x14ac:dyDescent="0.2">
      <c r="A386" s="99">
        <f t="shared" si="66"/>
        <v>306</v>
      </c>
      <c r="B386" s="100">
        <f t="shared" si="67"/>
        <v>32</v>
      </c>
      <c r="C386" s="116" t="s">
        <v>652</v>
      </c>
      <c r="D386" s="227" t="s">
        <v>653</v>
      </c>
      <c r="E386" s="116" t="s">
        <v>610</v>
      </c>
      <c r="F386" s="118"/>
      <c r="G386" s="160"/>
      <c r="H386" s="120">
        <v>45000000</v>
      </c>
      <c r="I386" s="179"/>
      <c r="J386" s="74">
        <f t="shared" si="63"/>
        <v>0</v>
      </c>
      <c r="K386" s="17">
        <f t="shared" si="64"/>
        <v>45000000</v>
      </c>
      <c r="L386" s="8"/>
      <c r="M386" s="8"/>
      <c r="N386" s="8"/>
      <c r="O386" s="8"/>
      <c r="P386" s="8"/>
      <c r="Q386" s="8"/>
      <c r="R386" s="8"/>
    </row>
    <row r="387" spans="1:18" ht="33" customHeight="1" x14ac:dyDescent="0.2">
      <c r="A387" s="99">
        <f t="shared" si="66"/>
        <v>307</v>
      </c>
      <c r="B387" s="100">
        <f t="shared" si="67"/>
        <v>33</v>
      </c>
      <c r="C387" s="116" t="s">
        <v>654</v>
      </c>
      <c r="D387" s="227" t="s">
        <v>655</v>
      </c>
      <c r="E387" s="116" t="s">
        <v>610</v>
      </c>
      <c r="F387" s="118"/>
      <c r="G387" s="160"/>
      <c r="H387" s="120">
        <v>8700000</v>
      </c>
      <c r="I387" s="179"/>
      <c r="J387" s="74">
        <f t="shared" si="63"/>
        <v>0</v>
      </c>
      <c r="K387" s="17">
        <f t="shared" si="64"/>
        <v>8700000</v>
      </c>
      <c r="L387" s="8"/>
      <c r="M387" s="8"/>
      <c r="N387" s="8"/>
      <c r="O387" s="8"/>
      <c r="P387" s="8"/>
      <c r="Q387" s="8"/>
      <c r="R387" s="8"/>
    </row>
    <row r="388" spans="1:18" ht="37.5" customHeight="1" x14ac:dyDescent="0.2">
      <c r="A388" s="99">
        <f t="shared" si="66"/>
        <v>308</v>
      </c>
      <c r="B388" s="100">
        <f t="shared" si="67"/>
        <v>34</v>
      </c>
      <c r="C388" s="116" t="s">
        <v>656</v>
      </c>
      <c r="D388" s="227" t="s">
        <v>657</v>
      </c>
      <c r="E388" s="116" t="s">
        <v>104</v>
      </c>
      <c r="F388" s="118"/>
      <c r="G388" s="160"/>
      <c r="H388" s="120">
        <v>106140662</v>
      </c>
      <c r="I388" s="179"/>
      <c r="J388" s="74">
        <f t="shared" si="63"/>
        <v>0</v>
      </c>
      <c r="K388" s="17">
        <f t="shared" si="64"/>
        <v>106140662</v>
      </c>
      <c r="L388" s="8"/>
      <c r="M388" s="8"/>
      <c r="N388" s="8"/>
      <c r="O388" s="8"/>
      <c r="P388" s="8"/>
      <c r="Q388" s="8"/>
      <c r="R388" s="8"/>
    </row>
    <row r="389" spans="1:18" ht="15.95" customHeight="1" x14ac:dyDescent="0.2">
      <c r="A389" s="99">
        <f t="shared" si="66"/>
        <v>309</v>
      </c>
      <c r="B389" s="100">
        <f t="shared" si="67"/>
        <v>35</v>
      </c>
      <c r="C389" s="116" t="s">
        <v>658</v>
      </c>
      <c r="D389" s="227" t="s">
        <v>659</v>
      </c>
      <c r="E389" s="116" t="s">
        <v>23</v>
      </c>
      <c r="F389" s="118"/>
      <c r="G389" s="160"/>
      <c r="H389" s="120">
        <v>60000000</v>
      </c>
      <c r="I389" s="179"/>
      <c r="J389" s="74">
        <f t="shared" si="63"/>
        <v>0</v>
      </c>
      <c r="K389" s="17">
        <f t="shared" si="64"/>
        <v>60000000</v>
      </c>
      <c r="L389" s="8"/>
      <c r="M389" s="8"/>
      <c r="N389" s="8"/>
      <c r="O389" s="8"/>
      <c r="P389" s="8"/>
      <c r="Q389" s="8"/>
      <c r="R389" s="8"/>
    </row>
    <row r="390" spans="1:18" ht="27.75" customHeight="1" x14ac:dyDescent="0.2">
      <c r="A390" s="99">
        <f t="shared" si="66"/>
        <v>310</v>
      </c>
      <c r="B390" s="100">
        <f t="shared" si="67"/>
        <v>36</v>
      </c>
      <c r="C390" s="116" t="s">
        <v>660</v>
      </c>
      <c r="D390" s="227" t="s">
        <v>661</v>
      </c>
      <c r="E390" s="116" t="s">
        <v>104</v>
      </c>
      <c r="F390" s="118"/>
      <c r="G390" s="160"/>
      <c r="H390" s="120">
        <v>181011605</v>
      </c>
      <c r="I390" s="179"/>
      <c r="J390" s="74">
        <f t="shared" si="63"/>
        <v>0</v>
      </c>
      <c r="K390" s="17">
        <f t="shared" si="64"/>
        <v>181011605</v>
      </c>
      <c r="L390" s="8"/>
      <c r="M390" s="8"/>
      <c r="N390" s="8"/>
      <c r="O390" s="8"/>
      <c r="P390" s="8"/>
      <c r="Q390" s="8"/>
      <c r="R390" s="8"/>
    </row>
    <row r="391" spans="1:18" ht="15.95" customHeight="1" x14ac:dyDescent="0.2">
      <c r="A391" s="99">
        <f t="shared" si="66"/>
        <v>311</v>
      </c>
      <c r="B391" s="100">
        <f t="shared" si="67"/>
        <v>37</v>
      </c>
      <c r="C391" s="116" t="s">
        <v>662</v>
      </c>
      <c r="D391" s="227" t="s">
        <v>663</v>
      </c>
      <c r="E391" s="116" t="s">
        <v>104</v>
      </c>
      <c r="F391" s="118"/>
      <c r="G391" s="160"/>
      <c r="H391" s="120">
        <v>52233900</v>
      </c>
      <c r="I391" s="179"/>
      <c r="J391" s="74"/>
      <c r="K391" s="17"/>
      <c r="L391" s="8"/>
      <c r="M391" s="8"/>
      <c r="N391" s="8"/>
      <c r="O391" s="8"/>
      <c r="P391" s="8"/>
      <c r="Q391" s="8"/>
      <c r="R391" s="8"/>
    </row>
    <row r="392" spans="1:18" ht="27.75" customHeight="1" x14ac:dyDescent="0.2">
      <c r="A392" s="99">
        <f t="shared" si="66"/>
        <v>312</v>
      </c>
      <c r="B392" s="100">
        <f t="shared" si="67"/>
        <v>38</v>
      </c>
      <c r="C392" s="116" t="s">
        <v>664</v>
      </c>
      <c r="D392" s="227" t="s">
        <v>665</v>
      </c>
      <c r="E392" s="116" t="s">
        <v>607</v>
      </c>
      <c r="F392" s="118"/>
      <c r="G392" s="160"/>
      <c r="H392" s="120">
        <v>76900000</v>
      </c>
      <c r="I392" s="179"/>
      <c r="J392" s="74"/>
      <c r="K392" s="17">
        <f>+H392</f>
        <v>76900000</v>
      </c>
      <c r="L392" s="8"/>
      <c r="M392" s="8"/>
      <c r="N392" s="8"/>
      <c r="O392" s="8"/>
      <c r="P392" s="8"/>
      <c r="Q392" s="8"/>
      <c r="R392" s="8"/>
    </row>
    <row r="393" spans="1:18" ht="27" customHeight="1" x14ac:dyDescent="0.2">
      <c r="A393" s="99">
        <f t="shared" si="66"/>
        <v>313</v>
      </c>
      <c r="B393" s="100">
        <f t="shared" si="67"/>
        <v>39</v>
      </c>
      <c r="C393" s="116" t="s">
        <v>666</v>
      </c>
      <c r="D393" s="227" t="s">
        <v>667</v>
      </c>
      <c r="E393" s="116" t="s">
        <v>32</v>
      </c>
      <c r="F393" s="118"/>
      <c r="G393" s="160"/>
      <c r="H393" s="120">
        <f>34248729.51/1.19</f>
        <v>28780444.966386553</v>
      </c>
      <c r="I393" s="179"/>
      <c r="J393" s="74"/>
      <c r="K393" s="17"/>
      <c r="L393" s="8"/>
      <c r="M393" s="8"/>
      <c r="N393" s="8"/>
      <c r="O393" s="8"/>
      <c r="P393" s="8"/>
      <c r="Q393" s="8"/>
      <c r="R393" s="8"/>
    </row>
    <row r="394" spans="1:18" ht="15.95" customHeight="1" x14ac:dyDescent="0.2">
      <c r="A394" s="99">
        <f t="shared" si="66"/>
        <v>314</v>
      </c>
      <c r="B394" s="100">
        <f t="shared" si="67"/>
        <v>40</v>
      </c>
      <c r="C394" s="116" t="s">
        <v>668</v>
      </c>
      <c r="D394" s="227" t="s">
        <v>669</v>
      </c>
      <c r="E394" s="116" t="s">
        <v>32</v>
      </c>
      <c r="F394" s="118"/>
      <c r="G394" s="160"/>
      <c r="H394" s="120">
        <f>370000000/1.19</f>
        <v>310924369.74789917</v>
      </c>
      <c r="I394" s="179"/>
      <c r="J394" s="74"/>
      <c r="K394" s="17"/>
      <c r="L394" s="8"/>
      <c r="M394" s="8"/>
      <c r="N394" s="8"/>
      <c r="O394" s="8"/>
      <c r="P394" s="8"/>
      <c r="Q394" s="8"/>
      <c r="R394" s="8"/>
    </row>
    <row r="395" spans="1:18" ht="15.95" customHeight="1" x14ac:dyDescent="0.2">
      <c r="A395" s="99">
        <f t="shared" si="66"/>
        <v>315</v>
      </c>
      <c r="B395" s="100">
        <f t="shared" si="67"/>
        <v>41</v>
      </c>
      <c r="C395" s="116" t="s">
        <v>670</v>
      </c>
      <c r="D395" s="227" t="s">
        <v>671</v>
      </c>
      <c r="E395" s="116" t="s">
        <v>32</v>
      </c>
      <c r="F395" s="118"/>
      <c r="G395" s="160"/>
      <c r="H395" s="120">
        <f>17385541.43/1.19</f>
        <v>14609698.680672269</v>
      </c>
      <c r="I395" s="179"/>
      <c r="J395" s="74"/>
      <c r="K395" s="17"/>
      <c r="L395" s="8"/>
      <c r="M395" s="8"/>
      <c r="N395" s="8"/>
      <c r="O395" s="8"/>
      <c r="P395" s="8"/>
      <c r="Q395" s="8"/>
      <c r="R395" s="8"/>
    </row>
    <row r="396" spans="1:18" ht="15.95" customHeight="1" x14ac:dyDescent="0.2">
      <c r="A396" s="99">
        <f t="shared" si="66"/>
        <v>316</v>
      </c>
      <c r="B396" s="100">
        <f t="shared" si="67"/>
        <v>42</v>
      </c>
      <c r="C396" s="116" t="s">
        <v>672</v>
      </c>
      <c r="D396" s="227" t="s">
        <v>673</v>
      </c>
      <c r="E396" s="116" t="s">
        <v>607</v>
      </c>
      <c r="F396" s="118"/>
      <c r="G396" s="160"/>
      <c r="H396" s="120">
        <f>873127822/3.2465</f>
        <v>268944346.83505315</v>
      </c>
      <c r="I396" s="179"/>
      <c r="J396" s="74"/>
      <c r="K396" s="17"/>
      <c r="L396" s="8"/>
      <c r="M396" s="8"/>
      <c r="N396" s="8"/>
      <c r="O396" s="8"/>
      <c r="P396" s="8"/>
      <c r="Q396" s="8"/>
      <c r="R396" s="8"/>
    </row>
    <row r="397" spans="1:18" ht="15.95" customHeight="1" x14ac:dyDescent="0.2">
      <c r="A397" s="99">
        <f t="shared" si="66"/>
        <v>317</v>
      </c>
      <c r="B397" s="100">
        <f t="shared" si="67"/>
        <v>43</v>
      </c>
      <c r="C397" s="116" t="s">
        <v>674</v>
      </c>
      <c r="D397" s="227" t="s">
        <v>675</v>
      </c>
      <c r="E397" s="116" t="s">
        <v>603</v>
      </c>
      <c r="F397" s="118"/>
      <c r="G397" s="160"/>
      <c r="H397" s="120">
        <f>131000000+100800000</f>
        <v>231800000</v>
      </c>
      <c r="I397" s="179"/>
      <c r="J397" s="74"/>
      <c r="K397" s="17"/>
      <c r="L397" s="8"/>
      <c r="M397" s="8"/>
      <c r="N397" s="8"/>
      <c r="O397" s="8"/>
      <c r="P397" s="8"/>
      <c r="Q397" s="8"/>
      <c r="R397" s="8"/>
    </row>
    <row r="398" spans="1:18" ht="15.95" customHeight="1" x14ac:dyDescent="0.2">
      <c r="A398" s="99">
        <f t="shared" si="66"/>
        <v>318</v>
      </c>
      <c r="B398" s="100">
        <f t="shared" si="67"/>
        <v>44</v>
      </c>
      <c r="C398" s="116" t="s">
        <v>676</v>
      </c>
      <c r="D398" s="227" t="s">
        <v>677</v>
      </c>
      <c r="E398" s="116" t="s">
        <v>610</v>
      </c>
      <c r="F398" s="118">
        <v>4700000</v>
      </c>
      <c r="G398" s="160"/>
      <c r="H398" s="120">
        <v>50000000</v>
      </c>
      <c r="I398" s="179"/>
      <c r="J398" s="74"/>
      <c r="K398" s="17"/>
      <c r="L398" s="8"/>
      <c r="M398" s="8"/>
      <c r="N398" s="8"/>
      <c r="O398" s="8"/>
      <c r="P398" s="8"/>
      <c r="Q398" s="8"/>
      <c r="R398" s="8"/>
    </row>
    <row r="399" spans="1:18" ht="15.95" customHeight="1" x14ac:dyDescent="0.2">
      <c r="A399" s="99">
        <f t="shared" si="66"/>
        <v>319</v>
      </c>
      <c r="B399" s="100">
        <f t="shared" si="67"/>
        <v>45</v>
      </c>
      <c r="C399" s="116" t="s">
        <v>678</v>
      </c>
      <c r="D399" s="227" t="s">
        <v>679</v>
      </c>
      <c r="E399" s="116" t="s">
        <v>32</v>
      </c>
      <c r="F399" s="118"/>
      <c r="G399" s="160"/>
      <c r="H399" s="120">
        <f>365120000/1.19</f>
        <v>306823529.41176474</v>
      </c>
      <c r="I399" s="179"/>
      <c r="J399" s="74"/>
      <c r="K399" s="17"/>
      <c r="L399" s="8"/>
      <c r="M399" s="8"/>
      <c r="N399" s="8"/>
      <c r="O399" s="8"/>
      <c r="P399" s="8"/>
      <c r="Q399" s="8"/>
      <c r="R399" s="8"/>
    </row>
    <row r="400" spans="1:18" ht="26.25" customHeight="1" x14ac:dyDescent="0.2">
      <c r="A400" s="99">
        <f t="shared" si="66"/>
        <v>320</v>
      </c>
      <c r="B400" s="100">
        <f t="shared" si="67"/>
        <v>46</v>
      </c>
      <c r="C400" s="116" t="s">
        <v>680</v>
      </c>
      <c r="D400" s="227" t="s">
        <v>681</v>
      </c>
      <c r="E400" s="116" t="s">
        <v>610</v>
      </c>
      <c r="F400" s="118">
        <v>3900001</v>
      </c>
      <c r="G400" s="160"/>
      <c r="H400" s="120">
        <v>74900000</v>
      </c>
      <c r="I400" s="179"/>
      <c r="J400" s="74"/>
      <c r="K400" s="17"/>
      <c r="L400" s="8"/>
      <c r="M400" s="8"/>
      <c r="N400" s="8"/>
      <c r="O400" s="8"/>
      <c r="P400" s="8"/>
      <c r="Q400" s="8"/>
      <c r="R400" s="8"/>
    </row>
    <row r="401" spans="1:112" ht="15.75" customHeight="1" x14ac:dyDescent="0.2">
      <c r="A401" s="99">
        <f t="shared" si="66"/>
        <v>321</v>
      </c>
      <c r="B401" s="100">
        <f t="shared" si="67"/>
        <v>47</v>
      </c>
      <c r="C401" s="116" t="s">
        <v>682</v>
      </c>
      <c r="D401" s="227" t="s">
        <v>683</v>
      </c>
      <c r="E401" s="116" t="s">
        <v>104</v>
      </c>
      <c r="F401" s="118"/>
      <c r="G401" s="160"/>
      <c r="H401" s="120">
        <v>300000000</v>
      </c>
      <c r="I401" s="179"/>
      <c r="J401" s="74"/>
      <c r="K401" s="17"/>
      <c r="L401" s="8"/>
      <c r="M401" s="8"/>
      <c r="N401" s="8"/>
      <c r="O401" s="8"/>
      <c r="P401" s="8"/>
      <c r="Q401" s="8"/>
      <c r="R401" s="8"/>
    </row>
    <row r="402" spans="1:112" ht="15.75" customHeight="1" x14ac:dyDescent="0.2">
      <c r="A402" s="99">
        <f t="shared" si="66"/>
        <v>322</v>
      </c>
      <c r="B402" s="100">
        <f t="shared" si="67"/>
        <v>48</v>
      </c>
      <c r="C402" s="116" t="s">
        <v>684</v>
      </c>
      <c r="D402" s="227" t="s">
        <v>685</v>
      </c>
      <c r="E402" s="116" t="s">
        <v>104</v>
      </c>
      <c r="F402" s="118"/>
      <c r="G402" s="160"/>
      <c r="H402" s="120">
        <v>167500000</v>
      </c>
      <c r="I402" s="179"/>
      <c r="J402" s="74"/>
      <c r="K402" s="17"/>
      <c r="L402" s="8"/>
      <c r="M402" s="8"/>
      <c r="N402" s="8"/>
      <c r="O402" s="8"/>
      <c r="P402" s="8"/>
      <c r="Q402" s="8"/>
      <c r="R402" s="8"/>
    </row>
    <row r="403" spans="1:112" ht="15.75" customHeight="1" x14ac:dyDescent="0.2">
      <c r="A403" s="99">
        <f t="shared" si="66"/>
        <v>323</v>
      </c>
      <c r="B403" s="100">
        <f t="shared" si="67"/>
        <v>49</v>
      </c>
      <c r="C403" s="116" t="s">
        <v>686</v>
      </c>
      <c r="D403" s="227" t="s">
        <v>687</v>
      </c>
      <c r="E403" s="116" t="s">
        <v>104</v>
      </c>
      <c r="F403" s="118"/>
      <c r="G403" s="160"/>
      <c r="H403" s="120">
        <v>291027958</v>
      </c>
      <c r="I403" s="179"/>
      <c r="J403" s="74"/>
      <c r="K403" s="17"/>
      <c r="L403" s="8"/>
      <c r="M403" s="8"/>
      <c r="N403" s="8"/>
      <c r="O403" s="8"/>
      <c r="P403" s="8"/>
      <c r="Q403" s="8"/>
      <c r="R403" s="8"/>
    </row>
    <row r="404" spans="1:112" ht="30" customHeight="1" x14ac:dyDescent="0.2">
      <c r="A404" s="99">
        <f t="shared" si="66"/>
        <v>324</v>
      </c>
      <c r="B404" s="100">
        <f t="shared" si="67"/>
        <v>50</v>
      </c>
      <c r="C404" s="116" t="s">
        <v>688</v>
      </c>
      <c r="D404" s="227" t="s">
        <v>689</v>
      </c>
      <c r="E404" s="116" t="s">
        <v>104</v>
      </c>
      <c r="F404" s="118"/>
      <c r="G404" s="160"/>
      <c r="H404" s="120">
        <v>43568414.539999999</v>
      </c>
      <c r="I404" s="179"/>
      <c r="J404" s="74"/>
      <c r="K404" s="17"/>
      <c r="L404" s="8"/>
      <c r="M404" s="8"/>
      <c r="N404" s="8"/>
      <c r="O404" s="8"/>
      <c r="P404" s="8"/>
      <c r="Q404" s="8"/>
      <c r="R404" s="8"/>
    </row>
    <row r="405" spans="1:112" ht="15" customHeight="1" x14ac:dyDescent="0.2">
      <c r="A405" s="99">
        <f t="shared" si="66"/>
        <v>325</v>
      </c>
      <c r="B405" s="100">
        <f t="shared" si="67"/>
        <v>51</v>
      </c>
      <c r="C405" s="116" t="s">
        <v>688</v>
      </c>
      <c r="D405" s="227" t="s">
        <v>690</v>
      </c>
      <c r="E405" s="116" t="s">
        <v>104</v>
      </c>
      <c r="F405" s="118"/>
      <c r="G405" s="160"/>
      <c r="H405" s="120">
        <v>14580022</v>
      </c>
      <c r="I405" s="179"/>
      <c r="J405" s="74"/>
      <c r="K405" s="17"/>
      <c r="L405" s="8"/>
      <c r="M405" s="8"/>
      <c r="N405" s="8"/>
      <c r="O405" s="8"/>
      <c r="P405" s="8"/>
      <c r="Q405" s="8"/>
      <c r="R405" s="8"/>
    </row>
    <row r="406" spans="1:112" ht="23.25" customHeight="1" x14ac:dyDescent="0.2">
      <c r="A406" s="99">
        <f t="shared" si="66"/>
        <v>326</v>
      </c>
      <c r="B406" s="100">
        <f t="shared" si="67"/>
        <v>52</v>
      </c>
      <c r="C406" s="116" t="s">
        <v>691</v>
      </c>
      <c r="D406" s="227" t="s">
        <v>692</v>
      </c>
      <c r="E406" s="116" t="s">
        <v>32</v>
      </c>
      <c r="F406" s="118"/>
      <c r="G406" s="160"/>
      <c r="H406" s="120">
        <f>126000000/1.19</f>
        <v>105882352.94117647</v>
      </c>
      <c r="I406" s="179"/>
      <c r="J406" s="74"/>
      <c r="K406" s="17"/>
      <c r="L406" s="8"/>
      <c r="M406" s="8"/>
      <c r="N406" s="8"/>
      <c r="O406" s="8"/>
      <c r="P406" s="8"/>
      <c r="Q406" s="8"/>
      <c r="R406" s="8"/>
    </row>
    <row r="407" spans="1:112" ht="20.25" customHeight="1" x14ac:dyDescent="0.2">
      <c r="A407" s="99">
        <f t="shared" si="66"/>
        <v>327</v>
      </c>
      <c r="B407" s="100">
        <f t="shared" si="67"/>
        <v>53</v>
      </c>
      <c r="C407" s="116" t="s">
        <v>693</v>
      </c>
      <c r="D407" s="227" t="s">
        <v>694</v>
      </c>
      <c r="E407" s="116" t="s">
        <v>32</v>
      </c>
      <c r="F407" s="118"/>
      <c r="G407" s="160"/>
      <c r="H407" s="120">
        <f>256977248/1.19</f>
        <v>215947267.22689077</v>
      </c>
      <c r="I407" s="179"/>
      <c r="J407" s="74"/>
      <c r="K407" s="17"/>
      <c r="L407" s="8"/>
      <c r="M407" s="8"/>
      <c r="N407" s="8"/>
      <c r="O407" s="8"/>
      <c r="P407" s="8"/>
      <c r="Q407" s="8"/>
      <c r="R407" s="8"/>
    </row>
    <row r="408" spans="1:112" ht="18" customHeight="1" x14ac:dyDescent="0.2">
      <c r="A408" s="99">
        <f t="shared" si="66"/>
        <v>328</v>
      </c>
      <c r="B408" s="100">
        <f t="shared" si="67"/>
        <v>54</v>
      </c>
      <c r="C408" s="116" t="s">
        <v>695</v>
      </c>
      <c r="D408" s="227" t="s">
        <v>696</v>
      </c>
      <c r="E408" s="116" t="s">
        <v>90</v>
      </c>
      <c r="F408" s="118"/>
      <c r="G408" s="160"/>
      <c r="H408" s="120">
        <f>424945639/1.18</f>
        <v>360123422.88135594</v>
      </c>
      <c r="I408" s="179"/>
      <c r="J408" s="74"/>
      <c r="K408" s="17"/>
      <c r="L408" s="8"/>
      <c r="M408" s="8"/>
      <c r="N408" s="8"/>
      <c r="O408" s="8"/>
      <c r="P408" s="8"/>
      <c r="Q408" s="8"/>
      <c r="R408" s="8"/>
    </row>
    <row r="409" spans="1:112" ht="20.25" customHeight="1" x14ac:dyDescent="0.2">
      <c r="A409" s="99">
        <f t="shared" si="66"/>
        <v>329</v>
      </c>
      <c r="B409" s="100">
        <f t="shared" si="67"/>
        <v>55</v>
      </c>
      <c r="C409" s="116" t="s">
        <v>697</v>
      </c>
      <c r="D409" s="227" t="s">
        <v>698</v>
      </c>
      <c r="E409" s="116" t="s">
        <v>104</v>
      </c>
      <c r="F409" s="118"/>
      <c r="G409" s="160"/>
      <c r="H409" s="120">
        <v>62545294</v>
      </c>
      <c r="I409" s="179"/>
      <c r="J409" s="74"/>
      <c r="K409" s="17"/>
      <c r="L409" s="8"/>
      <c r="M409" s="8"/>
      <c r="N409" s="8"/>
      <c r="O409" s="8"/>
      <c r="P409" s="8"/>
      <c r="Q409" s="8"/>
      <c r="R409" s="8"/>
    </row>
    <row r="410" spans="1:112" ht="27" customHeight="1" x14ac:dyDescent="0.2">
      <c r="A410" s="99">
        <f t="shared" si="66"/>
        <v>330</v>
      </c>
      <c r="B410" s="100">
        <f t="shared" si="67"/>
        <v>56</v>
      </c>
      <c r="C410" s="116" t="s">
        <v>697</v>
      </c>
      <c r="D410" s="227" t="s">
        <v>699</v>
      </c>
      <c r="E410" s="116" t="s">
        <v>607</v>
      </c>
      <c r="F410" s="118"/>
      <c r="G410" s="160"/>
      <c r="H410" s="120">
        <v>145000000</v>
      </c>
      <c r="I410" s="179"/>
      <c r="J410" s="74"/>
      <c r="K410" s="17"/>
      <c r="L410" s="8"/>
      <c r="M410" s="8"/>
      <c r="N410" s="8"/>
      <c r="O410" s="8"/>
      <c r="P410" s="8"/>
      <c r="Q410" s="8"/>
      <c r="R410" s="8"/>
    </row>
    <row r="411" spans="1:112" ht="19.5" customHeight="1" x14ac:dyDescent="0.2">
      <c r="A411" s="99">
        <f t="shared" si="66"/>
        <v>331</v>
      </c>
      <c r="B411" s="100">
        <f t="shared" si="67"/>
        <v>57</v>
      </c>
      <c r="C411" s="116" t="s">
        <v>700</v>
      </c>
      <c r="D411" s="227" t="s">
        <v>701</v>
      </c>
      <c r="E411" s="116" t="s">
        <v>104</v>
      </c>
      <c r="F411" s="118"/>
      <c r="G411" s="160"/>
      <c r="H411" s="120">
        <v>300000000</v>
      </c>
      <c r="I411" s="179"/>
      <c r="J411" s="74"/>
      <c r="K411" s="17"/>
      <c r="L411" s="8"/>
      <c r="M411" s="8"/>
      <c r="N411" s="8"/>
      <c r="O411" s="8"/>
      <c r="P411" s="8"/>
      <c r="Q411" s="8"/>
      <c r="R411" s="8"/>
    </row>
    <row r="412" spans="1:112" ht="19.5" customHeight="1" x14ac:dyDescent="0.2">
      <c r="A412" s="99">
        <f t="shared" si="66"/>
        <v>332</v>
      </c>
      <c r="B412" s="100">
        <f t="shared" si="67"/>
        <v>58</v>
      </c>
      <c r="C412" s="116" t="s">
        <v>702</v>
      </c>
      <c r="D412" s="227" t="s">
        <v>703</v>
      </c>
      <c r="E412" s="116" t="s">
        <v>610</v>
      </c>
      <c r="F412" s="118">
        <v>28389918</v>
      </c>
      <c r="G412" s="160" t="s">
        <v>704</v>
      </c>
      <c r="H412" s="120">
        <v>150000000</v>
      </c>
      <c r="I412" s="179"/>
      <c r="J412" s="74"/>
      <c r="K412" s="17"/>
      <c r="L412" s="8"/>
      <c r="M412" s="8"/>
      <c r="N412" s="8"/>
      <c r="O412" s="8"/>
      <c r="P412" s="8"/>
      <c r="Q412" s="8"/>
      <c r="R412" s="8"/>
    </row>
    <row r="413" spans="1:112" ht="41.25" customHeight="1" x14ac:dyDescent="0.2">
      <c r="A413" s="99">
        <f t="shared" si="66"/>
        <v>333</v>
      </c>
      <c r="B413" s="100">
        <f t="shared" si="67"/>
        <v>59</v>
      </c>
      <c r="C413" s="116" t="s">
        <v>705</v>
      </c>
      <c r="D413" s="227" t="s">
        <v>706</v>
      </c>
      <c r="E413" s="116" t="s">
        <v>32</v>
      </c>
      <c r="F413" s="118"/>
      <c r="G413" s="160"/>
      <c r="H413" s="120">
        <v>239460517.30000001</v>
      </c>
      <c r="I413" s="179"/>
    </row>
    <row r="414" spans="1:112" ht="19.5" customHeight="1" x14ac:dyDescent="0.2">
      <c r="A414" s="99">
        <f t="shared" si="66"/>
        <v>334</v>
      </c>
      <c r="B414" s="100">
        <f t="shared" si="67"/>
        <v>60</v>
      </c>
      <c r="C414" s="116" t="s">
        <v>707</v>
      </c>
      <c r="D414" s="227" t="s">
        <v>708</v>
      </c>
      <c r="E414" s="116" t="s">
        <v>104</v>
      </c>
      <c r="F414" s="118"/>
      <c r="G414" s="160"/>
      <c r="H414" s="217">
        <v>2555000000</v>
      </c>
      <c r="I414" s="179" t="s">
        <v>709</v>
      </c>
    </row>
    <row r="415" spans="1:112" ht="19.5" customHeight="1" x14ac:dyDescent="0.2">
      <c r="A415" s="99">
        <f t="shared" si="66"/>
        <v>335</v>
      </c>
      <c r="B415" s="100">
        <f t="shared" si="67"/>
        <v>61</v>
      </c>
      <c r="C415" s="116" t="s">
        <v>710</v>
      </c>
      <c r="D415" s="227" t="s">
        <v>711</v>
      </c>
      <c r="E415" s="116" t="s">
        <v>104</v>
      </c>
      <c r="F415" s="118"/>
      <c r="G415" s="160"/>
      <c r="H415" s="120">
        <v>101406434</v>
      </c>
      <c r="I415" s="179"/>
    </row>
    <row r="416" spans="1:112" s="71" customFormat="1" ht="21.75" customHeight="1" x14ac:dyDescent="0.2">
      <c r="A416" s="99">
        <f t="shared" si="66"/>
        <v>336</v>
      </c>
      <c r="B416" s="100">
        <f t="shared" si="67"/>
        <v>62</v>
      </c>
      <c r="C416" s="116" t="s">
        <v>712</v>
      </c>
      <c r="D416" s="227" t="s">
        <v>713</v>
      </c>
      <c r="E416" s="116" t="s">
        <v>603</v>
      </c>
      <c r="F416" s="118"/>
      <c r="G416" s="160"/>
      <c r="H416" s="120">
        <v>748713939</v>
      </c>
      <c r="I416" s="179" t="s">
        <v>714</v>
      </c>
      <c r="J416" s="200"/>
      <c r="K416" s="11"/>
      <c r="L416" s="11"/>
      <c r="M416" s="11"/>
      <c r="N416" s="11"/>
      <c r="O416" s="11"/>
      <c r="P416" s="11"/>
      <c r="Q416" s="11"/>
      <c r="R416" s="11"/>
      <c r="S416" s="8"/>
      <c r="T416" s="8"/>
      <c r="U416" s="8"/>
      <c r="V416" s="8"/>
      <c r="W416" s="8"/>
      <c r="X416" s="8"/>
      <c r="Y416" s="8"/>
      <c r="Z416" s="8"/>
      <c r="AA416" s="8"/>
      <c r="AB416" s="8"/>
      <c r="AC416" s="8"/>
      <c r="AD416" s="8"/>
      <c r="AE416" s="8"/>
      <c r="AF416" s="8"/>
      <c r="AG416" s="8"/>
      <c r="AH416" s="8"/>
      <c r="AI416" s="8"/>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c r="BH416" s="9"/>
      <c r="BI416" s="9"/>
      <c r="BJ416" s="9"/>
      <c r="BK416" s="9"/>
      <c r="BL416" s="9"/>
      <c r="BM416" s="9"/>
      <c r="BN416" s="9"/>
      <c r="BO416" s="9"/>
      <c r="BP416" s="9"/>
      <c r="BQ416" s="9"/>
      <c r="BR416" s="9"/>
      <c r="BS416" s="9"/>
      <c r="BT416" s="9"/>
      <c r="BU416" s="9"/>
      <c r="BV416" s="9"/>
      <c r="BW416" s="9"/>
      <c r="BX416" s="9"/>
      <c r="BY416" s="9"/>
      <c r="BZ416" s="9"/>
      <c r="CA416" s="9"/>
      <c r="CB416" s="9"/>
      <c r="CC416" s="9"/>
      <c r="CD416" s="9"/>
      <c r="CE416" s="9"/>
      <c r="CF416" s="9"/>
      <c r="CG416" s="9"/>
      <c r="CH416" s="9"/>
      <c r="CI416" s="9"/>
      <c r="CJ416" s="9"/>
      <c r="CK416" s="9"/>
      <c r="CL416" s="9"/>
      <c r="CM416" s="9"/>
      <c r="CN416" s="9"/>
      <c r="CO416" s="9"/>
      <c r="CP416" s="9"/>
      <c r="CQ416" s="9"/>
      <c r="CR416" s="9"/>
      <c r="CS416" s="9"/>
      <c r="CT416" s="9"/>
      <c r="CU416" s="9"/>
      <c r="CV416" s="9"/>
      <c r="CW416" s="9"/>
      <c r="CX416" s="9"/>
      <c r="CY416" s="9"/>
      <c r="CZ416" s="9"/>
      <c r="DA416" s="9"/>
      <c r="DB416" s="9"/>
      <c r="DC416" s="9"/>
      <c r="DD416" s="9"/>
      <c r="DE416" s="9"/>
      <c r="DF416" s="9"/>
      <c r="DG416" s="9"/>
      <c r="DH416" s="77"/>
    </row>
    <row r="417" spans="1:112" s="71" customFormat="1" ht="30" customHeight="1" x14ac:dyDescent="0.2">
      <c r="A417" s="99">
        <f t="shared" si="66"/>
        <v>337</v>
      </c>
      <c r="B417" s="100">
        <f t="shared" si="67"/>
        <v>63</v>
      </c>
      <c r="C417" s="116" t="s">
        <v>715</v>
      </c>
      <c r="D417" s="227" t="s">
        <v>716</v>
      </c>
      <c r="E417" s="116" t="s">
        <v>104</v>
      </c>
      <c r="F417" s="118"/>
      <c r="G417" s="160"/>
      <c r="H417" s="120">
        <v>113000000</v>
      </c>
      <c r="I417" s="179"/>
      <c r="J417" s="200"/>
      <c r="K417" s="11"/>
      <c r="L417" s="11"/>
      <c r="M417" s="11"/>
      <c r="N417" s="11"/>
      <c r="O417" s="11"/>
      <c r="P417" s="11"/>
      <c r="Q417" s="11"/>
      <c r="R417" s="11"/>
      <c r="S417" s="8"/>
      <c r="T417" s="8"/>
      <c r="U417" s="8"/>
      <c r="V417" s="8"/>
      <c r="W417" s="8"/>
      <c r="X417" s="8"/>
      <c r="Y417" s="8"/>
      <c r="Z417" s="8"/>
      <c r="AA417" s="8"/>
      <c r="AB417" s="8"/>
      <c r="AC417" s="8"/>
      <c r="AD417" s="8"/>
      <c r="AE417" s="8"/>
      <c r="AF417" s="8"/>
      <c r="AG417" s="8"/>
      <c r="AH417" s="8"/>
      <c r="AI417" s="8"/>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c r="BH417" s="9"/>
      <c r="BI417" s="9"/>
      <c r="BJ417" s="9"/>
      <c r="BK417" s="9"/>
      <c r="BL417" s="9"/>
      <c r="BM417" s="9"/>
      <c r="BN417" s="9"/>
      <c r="BO417" s="9"/>
      <c r="BP417" s="9"/>
      <c r="BQ417" s="9"/>
      <c r="BR417" s="9"/>
      <c r="BS417" s="9"/>
      <c r="BT417" s="9"/>
      <c r="BU417" s="9"/>
      <c r="BV417" s="9"/>
      <c r="BW417" s="9"/>
      <c r="BX417" s="9"/>
      <c r="BY417" s="9"/>
      <c r="BZ417" s="9"/>
      <c r="CA417" s="9"/>
      <c r="CB417" s="9"/>
      <c r="CC417" s="9"/>
      <c r="CD417" s="9"/>
      <c r="CE417" s="9"/>
      <c r="CF417" s="9"/>
      <c r="CG417" s="9"/>
      <c r="CH417" s="9"/>
      <c r="CI417" s="9"/>
      <c r="CJ417" s="9"/>
      <c r="CK417" s="9"/>
      <c r="CL417" s="9"/>
      <c r="CM417" s="9"/>
      <c r="CN417" s="9"/>
      <c r="CO417" s="9"/>
      <c r="CP417" s="9"/>
      <c r="CQ417" s="9"/>
      <c r="CR417" s="9"/>
      <c r="CS417" s="9"/>
      <c r="CT417" s="9"/>
      <c r="CU417" s="9"/>
      <c r="CV417" s="9"/>
      <c r="CW417" s="9"/>
      <c r="CX417" s="9"/>
      <c r="CY417" s="9"/>
      <c r="CZ417" s="9"/>
      <c r="DA417" s="9"/>
      <c r="DB417" s="9"/>
      <c r="DC417" s="9"/>
      <c r="DD417" s="9"/>
      <c r="DE417" s="9"/>
      <c r="DF417" s="9"/>
      <c r="DG417" s="9"/>
      <c r="DH417" s="77"/>
    </row>
    <row r="418" spans="1:112" s="71" customFormat="1" ht="21.75" customHeight="1" x14ac:dyDescent="0.2">
      <c r="A418" s="99">
        <f t="shared" si="66"/>
        <v>338</v>
      </c>
      <c r="B418" s="100">
        <f t="shared" si="67"/>
        <v>64</v>
      </c>
      <c r="C418" s="116" t="s">
        <v>717</v>
      </c>
      <c r="D418" s="227" t="s">
        <v>718</v>
      </c>
      <c r="E418" s="116" t="s">
        <v>603</v>
      </c>
      <c r="F418" s="118"/>
      <c r="G418" s="160"/>
      <c r="H418" s="120">
        <v>37058304</v>
      </c>
      <c r="I418" s="179"/>
      <c r="J418" s="200"/>
      <c r="K418" s="11"/>
      <c r="L418" s="11"/>
      <c r="M418" s="11"/>
      <c r="N418" s="11"/>
      <c r="O418" s="11"/>
      <c r="P418" s="11"/>
      <c r="Q418" s="11"/>
      <c r="R418" s="11"/>
      <c r="S418" s="8"/>
      <c r="T418" s="8"/>
      <c r="U418" s="8"/>
      <c r="V418" s="8"/>
      <c r="W418" s="8"/>
      <c r="X418" s="8"/>
      <c r="Y418" s="8"/>
      <c r="Z418" s="8"/>
      <c r="AA418" s="8"/>
      <c r="AB418" s="8"/>
      <c r="AC418" s="8"/>
      <c r="AD418" s="8"/>
      <c r="AE418" s="8"/>
      <c r="AF418" s="8"/>
      <c r="AG418" s="8"/>
      <c r="AH418" s="8"/>
      <c r="AI418" s="8"/>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c r="BI418" s="9"/>
      <c r="BJ418" s="9"/>
      <c r="BK418" s="9"/>
      <c r="BL418" s="9"/>
      <c r="BM418" s="9"/>
      <c r="BN418" s="9"/>
      <c r="BO418" s="9"/>
      <c r="BP418" s="9"/>
      <c r="BQ418" s="9"/>
      <c r="BR418" s="9"/>
      <c r="BS418" s="9"/>
      <c r="BT418" s="9"/>
      <c r="BU418" s="9"/>
      <c r="BV418" s="9"/>
      <c r="BW418" s="9"/>
      <c r="BX418" s="9"/>
      <c r="BY418" s="9"/>
      <c r="BZ418" s="9"/>
      <c r="CA418" s="9"/>
      <c r="CB418" s="9"/>
      <c r="CC418" s="9"/>
      <c r="CD418" s="9"/>
      <c r="CE418" s="9"/>
      <c r="CF418" s="9"/>
      <c r="CG418" s="9"/>
      <c r="CH418" s="9"/>
      <c r="CI418" s="9"/>
      <c r="CJ418" s="9"/>
      <c r="CK418" s="9"/>
      <c r="CL418" s="9"/>
      <c r="CM418" s="9"/>
      <c r="CN418" s="9"/>
      <c r="CO418" s="9"/>
      <c r="CP418" s="9"/>
      <c r="CQ418" s="9"/>
      <c r="CR418" s="9"/>
      <c r="CS418" s="9"/>
      <c r="CT418" s="9"/>
      <c r="CU418" s="9"/>
      <c r="CV418" s="9"/>
      <c r="CW418" s="9"/>
      <c r="CX418" s="9"/>
      <c r="CY418" s="9"/>
      <c r="CZ418" s="9"/>
      <c r="DA418" s="9"/>
      <c r="DB418" s="9"/>
      <c r="DC418" s="9"/>
      <c r="DD418" s="9"/>
      <c r="DE418" s="9"/>
      <c r="DF418" s="9"/>
      <c r="DG418" s="9"/>
      <c r="DH418" s="77"/>
    </row>
    <row r="419" spans="1:112" ht="30" customHeight="1" x14ac:dyDescent="0.2">
      <c r="A419" s="99">
        <f t="shared" si="66"/>
        <v>339</v>
      </c>
      <c r="B419" s="100">
        <f t="shared" si="67"/>
        <v>65</v>
      </c>
      <c r="C419" s="131" t="s">
        <v>719</v>
      </c>
      <c r="D419" s="229" t="s">
        <v>720</v>
      </c>
      <c r="E419" s="131" t="s">
        <v>610</v>
      </c>
      <c r="F419" s="132">
        <v>220800</v>
      </c>
      <c r="G419" s="162"/>
      <c r="H419" s="133">
        <v>1000000</v>
      </c>
      <c r="I419" s="184"/>
      <c r="J419" s="74"/>
      <c r="K419" s="17"/>
      <c r="L419" s="8"/>
      <c r="M419" s="8"/>
      <c r="N419" s="8"/>
      <c r="O419" s="8"/>
      <c r="P419" s="8"/>
      <c r="Q419" s="8"/>
      <c r="R419" s="8"/>
    </row>
    <row r="420" spans="1:112" ht="30" customHeight="1" x14ac:dyDescent="0.2">
      <c r="A420" s="99">
        <f t="shared" si="66"/>
        <v>340</v>
      </c>
      <c r="B420" s="100">
        <f t="shared" si="67"/>
        <v>66</v>
      </c>
      <c r="C420" s="131" t="s">
        <v>721</v>
      </c>
      <c r="D420" s="229" t="s">
        <v>722</v>
      </c>
      <c r="E420" s="131" t="s">
        <v>104</v>
      </c>
      <c r="F420" s="132"/>
      <c r="G420" s="162"/>
      <c r="H420" s="133">
        <v>55000000</v>
      </c>
      <c r="I420" s="184"/>
      <c r="J420" s="74"/>
      <c r="K420" s="17"/>
      <c r="L420" s="8"/>
      <c r="M420" s="8"/>
      <c r="N420" s="8"/>
      <c r="O420" s="8"/>
      <c r="P420" s="8"/>
      <c r="Q420" s="8"/>
      <c r="R420" s="8"/>
    </row>
    <row r="421" spans="1:112" ht="41.25" customHeight="1" x14ac:dyDescent="0.2">
      <c r="A421" s="99">
        <f t="shared" si="66"/>
        <v>341</v>
      </c>
      <c r="B421" s="100">
        <f t="shared" si="67"/>
        <v>67</v>
      </c>
      <c r="C421" s="131" t="s">
        <v>723</v>
      </c>
      <c r="D421" s="229" t="s">
        <v>724</v>
      </c>
      <c r="E421" s="131" t="s">
        <v>610</v>
      </c>
      <c r="F421" s="132">
        <v>48408949</v>
      </c>
      <c r="G421" s="162" t="s">
        <v>725</v>
      </c>
      <c r="H421" s="133">
        <v>343400000</v>
      </c>
      <c r="I421" s="184"/>
      <c r="J421" s="74"/>
      <c r="K421" s="17"/>
      <c r="L421" s="8"/>
      <c r="M421" s="8"/>
      <c r="N421" s="8"/>
      <c r="O421" s="8"/>
      <c r="P421" s="8"/>
      <c r="Q421" s="8"/>
      <c r="R421" s="8"/>
    </row>
    <row r="422" spans="1:112" ht="41.25" customHeight="1" x14ac:dyDescent="0.2">
      <c r="A422" s="99">
        <f t="shared" si="66"/>
        <v>342</v>
      </c>
      <c r="B422" s="100">
        <f t="shared" si="67"/>
        <v>68</v>
      </c>
      <c r="C422" s="131" t="s">
        <v>726</v>
      </c>
      <c r="D422" s="229" t="s">
        <v>727</v>
      </c>
      <c r="E422" s="131" t="s">
        <v>32</v>
      </c>
      <c r="F422" s="132"/>
      <c r="G422" s="162"/>
      <c r="H422" s="133">
        <f>195890000/1.18</f>
        <v>166008474.57627121</v>
      </c>
      <c r="I422" s="184"/>
      <c r="J422" s="74"/>
      <c r="K422" s="17"/>
      <c r="L422" s="8"/>
      <c r="M422" s="8"/>
      <c r="N422" s="8"/>
      <c r="O422" s="8"/>
      <c r="P422" s="8"/>
      <c r="Q422" s="8"/>
      <c r="R422" s="8"/>
    </row>
    <row r="423" spans="1:112" ht="31.5" customHeight="1" x14ac:dyDescent="0.2">
      <c r="A423" s="99">
        <f t="shared" si="66"/>
        <v>343</v>
      </c>
      <c r="B423" s="100">
        <f t="shared" si="67"/>
        <v>69</v>
      </c>
      <c r="C423" s="131" t="s">
        <v>728</v>
      </c>
      <c r="D423" s="229" t="s">
        <v>729</v>
      </c>
      <c r="E423" s="131" t="s">
        <v>104</v>
      </c>
      <c r="F423" s="132"/>
      <c r="G423" s="162"/>
      <c r="H423" s="133">
        <v>106887489</v>
      </c>
      <c r="I423" s="184"/>
      <c r="J423" s="74"/>
      <c r="K423" s="17"/>
      <c r="L423" s="8"/>
      <c r="M423" s="8"/>
      <c r="N423" s="8"/>
      <c r="O423" s="8"/>
      <c r="P423" s="8"/>
      <c r="Q423" s="8"/>
      <c r="R423" s="8"/>
    </row>
    <row r="424" spans="1:112" ht="21.75" customHeight="1" x14ac:dyDescent="0.2">
      <c r="A424" s="99">
        <f t="shared" si="66"/>
        <v>344</v>
      </c>
      <c r="B424" s="100">
        <f t="shared" si="67"/>
        <v>70</v>
      </c>
      <c r="C424" s="131" t="s">
        <v>730</v>
      </c>
      <c r="D424" s="229" t="s">
        <v>731</v>
      </c>
      <c r="E424" s="131" t="s">
        <v>137</v>
      </c>
      <c r="F424" s="132"/>
      <c r="G424" s="162"/>
      <c r="H424" s="133">
        <f>428657/2.69</f>
        <v>159352.04460966543</v>
      </c>
      <c r="I424" s="184" t="s">
        <v>732</v>
      </c>
      <c r="J424" s="74"/>
      <c r="K424" s="17"/>
      <c r="L424" s="8"/>
      <c r="M424" s="8"/>
      <c r="N424" s="8"/>
      <c r="O424" s="8"/>
      <c r="P424" s="8"/>
      <c r="Q424" s="8"/>
      <c r="R424" s="8"/>
    </row>
    <row r="425" spans="1:112" ht="30.75" customHeight="1" x14ac:dyDescent="0.2">
      <c r="A425" s="99">
        <f t="shared" si="66"/>
        <v>345</v>
      </c>
      <c r="B425" s="100">
        <f t="shared" si="67"/>
        <v>71</v>
      </c>
      <c r="C425" s="131" t="s">
        <v>733</v>
      </c>
      <c r="D425" s="229" t="s">
        <v>734</v>
      </c>
      <c r="E425" s="131" t="s">
        <v>104</v>
      </c>
      <c r="F425" s="132"/>
      <c r="G425" s="162"/>
      <c r="H425" s="133">
        <v>114262782</v>
      </c>
      <c r="I425" s="184"/>
      <c r="J425" s="74"/>
      <c r="K425" s="17"/>
      <c r="L425" s="8"/>
      <c r="M425" s="8"/>
      <c r="N425" s="8"/>
      <c r="O425" s="8"/>
      <c r="P425" s="8"/>
      <c r="Q425" s="8"/>
      <c r="R425" s="8"/>
    </row>
    <row r="426" spans="1:112" ht="21" customHeight="1" x14ac:dyDescent="0.2">
      <c r="A426" s="129">
        <f>A425+1</f>
        <v>346</v>
      </c>
      <c r="B426" s="100">
        <f t="shared" si="67"/>
        <v>72</v>
      </c>
      <c r="C426" s="131" t="s">
        <v>735</v>
      </c>
      <c r="D426" s="229" t="s">
        <v>736</v>
      </c>
      <c r="E426" s="131" t="s">
        <v>104</v>
      </c>
      <c r="F426" s="132"/>
      <c r="G426" s="162"/>
      <c r="H426" s="199">
        <v>600000000</v>
      </c>
      <c r="I426" s="184"/>
      <c r="J426" s="74"/>
      <c r="K426" s="17"/>
      <c r="L426" s="8"/>
      <c r="M426" s="8"/>
      <c r="N426" s="8"/>
      <c r="O426" s="8"/>
      <c r="P426" s="8"/>
      <c r="Q426" s="8"/>
      <c r="R426" s="8"/>
    </row>
    <row r="427" spans="1:112" ht="20.25" customHeight="1" x14ac:dyDescent="0.2">
      <c r="A427" s="99">
        <f>A426+1</f>
        <v>347</v>
      </c>
      <c r="B427" s="100">
        <f t="shared" si="67"/>
        <v>73</v>
      </c>
      <c r="C427" s="131" t="s">
        <v>737</v>
      </c>
      <c r="D427" s="229" t="s">
        <v>738</v>
      </c>
      <c r="E427" s="131" t="s">
        <v>104</v>
      </c>
      <c r="F427" s="132"/>
      <c r="G427" s="162"/>
      <c r="H427" s="199">
        <v>100000000</v>
      </c>
      <c r="I427" s="184"/>
      <c r="J427" s="74"/>
      <c r="K427" s="17"/>
      <c r="L427" s="8"/>
      <c r="M427" s="8"/>
      <c r="N427" s="8"/>
      <c r="O427" s="8"/>
      <c r="P427" s="8"/>
      <c r="Q427" s="8"/>
      <c r="R427" s="8"/>
    </row>
    <row r="428" spans="1:112" ht="30.75" customHeight="1" x14ac:dyDescent="0.2">
      <c r="A428" s="99">
        <f>A427+1</f>
        <v>348</v>
      </c>
      <c r="B428" s="100">
        <f t="shared" si="67"/>
        <v>74</v>
      </c>
      <c r="C428" s="131" t="s">
        <v>739</v>
      </c>
      <c r="D428" s="229" t="s">
        <v>740</v>
      </c>
      <c r="E428" s="131" t="s">
        <v>104</v>
      </c>
      <c r="F428" s="132"/>
      <c r="G428" s="162"/>
      <c r="H428" s="133">
        <v>278365620</v>
      </c>
      <c r="I428" s="184"/>
      <c r="J428" s="74"/>
      <c r="K428" s="17"/>
      <c r="L428" s="8"/>
      <c r="M428" s="8"/>
      <c r="N428" s="8"/>
      <c r="O428" s="8"/>
      <c r="P428" s="8"/>
      <c r="Q428" s="8"/>
      <c r="R428" s="8"/>
    </row>
    <row r="429" spans="1:112" ht="36.75" customHeight="1" x14ac:dyDescent="0.2">
      <c r="A429" s="99">
        <f t="shared" si="66"/>
        <v>349</v>
      </c>
      <c r="B429" s="100">
        <f t="shared" si="67"/>
        <v>75</v>
      </c>
      <c r="C429" s="131" t="s">
        <v>741</v>
      </c>
      <c r="D429" s="229" t="s">
        <v>742</v>
      </c>
      <c r="E429" s="131" t="s">
        <v>610</v>
      </c>
      <c r="F429" s="132">
        <f>(152229000+105511176)/1.18</f>
        <v>218423877.96610171</v>
      </c>
      <c r="G429" s="162"/>
      <c r="H429" s="199">
        <f>800000000+F429</f>
        <v>1018423877.9661016</v>
      </c>
      <c r="I429" s="184"/>
      <c r="J429" s="74"/>
      <c r="K429" s="17"/>
      <c r="L429" s="8"/>
      <c r="M429" s="8"/>
      <c r="N429" s="8"/>
      <c r="O429" s="8"/>
      <c r="P429" s="8"/>
      <c r="Q429" s="8"/>
      <c r="R429" s="8"/>
    </row>
    <row r="430" spans="1:112" ht="18" customHeight="1" x14ac:dyDescent="0.2">
      <c r="A430" s="99">
        <f t="shared" si="66"/>
        <v>350</v>
      </c>
      <c r="B430" s="100">
        <f t="shared" si="67"/>
        <v>76</v>
      </c>
      <c r="C430" s="131" t="s">
        <v>743</v>
      </c>
      <c r="D430" s="229" t="s">
        <v>744</v>
      </c>
      <c r="E430" s="131" t="s">
        <v>23</v>
      </c>
      <c r="F430" s="132"/>
      <c r="G430" s="162"/>
      <c r="H430" s="133">
        <v>205000000</v>
      </c>
      <c r="I430" s="184"/>
      <c r="J430" s="74"/>
      <c r="K430" s="17"/>
      <c r="L430" s="8"/>
      <c r="M430" s="8"/>
      <c r="N430" s="8"/>
      <c r="O430" s="8"/>
      <c r="P430" s="8"/>
      <c r="Q430" s="8"/>
      <c r="R430" s="8"/>
    </row>
    <row r="431" spans="1:112" ht="30.75" customHeight="1" x14ac:dyDescent="0.2">
      <c r="A431" s="99">
        <f t="shared" si="66"/>
        <v>351</v>
      </c>
      <c r="B431" s="100">
        <f t="shared" si="67"/>
        <v>77</v>
      </c>
      <c r="C431" s="131" t="s">
        <v>745</v>
      </c>
      <c r="D431" s="229" t="s">
        <v>746</v>
      </c>
      <c r="E431" s="131" t="s">
        <v>607</v>
      </c>
      <c r="F431" s="132"/>
      <c r="G431" s="162"/>
      <c r="H431" s="133">
        <v>100000000</v>
      </c>
      <c r="I431" s="184"/>
      <c r="J431" s="74"/>
      <c r="K431" s="17"/>
      <c r="L431" s="8"/>
      <c r="M431" s="8"/>
      <c r="N431" s="8"/>
      <c r="O431" s="8"/>
      <c r="P431" s="8"/>
      <c r="Q431" s="8"/>
      <c r="R431" s="8"/>
    </row>
    <row r="432" spans="1:112" ht="16.5" customHeight="1" x14ac:dyDescent="0.2">
      <c r="A432" s="99">
        <f t="shared" si="66"/>
        <v>352</v>
      </c>
      <c r="B432" s="100">
        <f t="shared" si="67"/>
        <v>78</v>
      </c>
      <c r="C432" s="131" t="s">
        <v>747</v>
      </c>
      <c r="D432" s="229" t="s">
        <v>748</v>
      </c>
      <c r="E432" s="131" t="s">
        <v>749</v>
      </c>
      <c r="F432" s="132"/>
      <c r="G432" s="162"/>
      <c r="H432" s="133">
        <v>573684398</v>
      </c>
      <c r="I432" s="184"/>
      <c r="J432" s="74"/>
      <c r="K432" s="17"/>
      <c r="L432" s="8"/>
      <c r="M432" s="8"/>
      <c r="N432" s="8"/>
      <c r="O432" s="8"/>
      <c r="P432" s="8"/>
      <c r="Q432" s="8"/>
      <c r="R432" s="8"/>
    </row>
    <row r="433" spans="1:18" ht="30.75" customHeight="1" x14ac:dyDescent="0.2">
      <c r="A433" s="99">
        <f t="shared" si="66"/>
        <v>353</v>
      </c>
      <c r="B433" s="100">
        <f t="shared" si="67"/>
        <v>79</v>
      </c>
      <c r="C433" s="131" t="s">
        <v>750</v>
      </c>
      <c r="D433" s="229" t="s">
        <v>751</v>
      </c>
      <c r="E433" s="131" t="s">
        <v>32</v>
      </c>
      <c r="F433" s="132"/>
      <c r="G433" s="162"/>
      <c r="H433" s="133">
        <v>552000000</v>
      </c>
      <c r="I433" s="184"/>
      <c r="J433" s="74"/>
      <c r="K433" s="17"/>
      <c r="L433" s="8"/>
      <c r="M433" s="8"/>
      <c r="N433" s="8"/>
      <c r="O433" s="8"/>
      <c r="P433" s="8"/>
      <c r="Q433" s="8"/>
      <c r="R433" s="8"/>
    </row>
    <row r="434" spans="1:18" ht="30.75" customHeight="1" x14ac:dyDescent="0.2">
      <c r="A434" s="99">
        <f t="shared" si="66"/>
        <v>354</v>
      </c>
      <c r="B434" s="100">
        <f t="shared" si="67"/>
        <v>80</v>
      </c>
      <c r="C434" s="131" t="s">
        <v>752</v>
      </c>
      <c r="D434" s="229" t="s">
        <v>753</v>
      </c>
      <c r="E434" s="131" t="s">
        <v>610</v>
      </c>
      <c r="F434" s="132"/>
      <c r="G434" s="162"/>
      <c r="H434" s="133">
        <v>275880000</v>
      </c>
      <c r="I434" s="184"/>
      <c r="J434" s="74"/>
      <c r="K434" s="17"/>
      <c r="L434" s="8"/>
      <c r="M434" s="8"/>
      <c r="N434" s="8"/>
      <c r="O434" s="8"/>
      <c r="P434" s="8"/>
      <c r="Q434" s="8"/>
      <c r="R434" s="8"/>
    </row>
    <row r="435" spans="1:18" ht="30.75" customHeight="1" x14ac:dyDescent="0.2">
      <c r="A435" s="99">
        <f t="shared" ref="A435:B441" si="68">A434+1</f>
        <v>355</v>
      </c>
      <c r="B435" s="100">
        <f t="shared" si="67"/>
        <v>81</v>
      </c>
      <c r="C435" s="131" t="s">
        <v>754</v>
      </c>
      <c r="D435" s="229" t="s">
        <v>755</v>
      </c>
      <c r="E435" s="131" t="s">
        <v>32</v>
      </c>
      <c r="F435" s="132"/>
      <c r="G435" s="162"/>
      <c r="H435" s="133">
        <v>5075150000</v>
      </c>
      <c r="I435" s="184" t="s">
        <v>756</v>
      </c>
      <c r="J435" s="74"/>
      <c r="K435" s="17"/>
      <c r="L435" s="8"/>
      <c r="M435" s="8"/>
      <c r="N435" s="8"/>
      <c r="O435" s="8"/>
      <c r="P435" s="8"/>
      <c r="Q435" s="8"/>
      <c r="R435" s="8"/>
    </row>
    <row r="436" spans="1:18" ht="17.25" customHeight="1" x14ac:dyDescent="0.2">
      <c r="A436" s="99">
        <f t="shared" si="68"/>
        <v>356</v>
      </c>
      <c r="B436" s="100">
        <f t="shared" si="67"/>
        <v>82</v>
      </c>
      <c r="C436" s="131" t="s">
        <v>757</v>
      </c>
      <c r="D436" s="229" t="s">
        <v>758</v>
      </c>
      <c r="E436" s="131" t="s">
        <v>32</v>
      </c>
      <c r="F436" s="132"/>
      <c r="G436" s="162"/>
      <c r="H436" s="133">
        <v>537000000</v>
      </c>
      <c r="I436" s="184" t="s">
        <v>759</v>
      </c>
      <c r="J436" s="74"/>
      <c r="K436" s="17"/>
      <c r="L436" s="8"/>
      <c r="M436" s="8"/>
      <c r="N436" s="8"/>
      <c r="O436" s="8"/>
      <c r="P436" s="8"/>
      <c r="Q436" s="8"/>
      <c r="R436" s="8"/>
    </row>
    <row r="437" spans="1:18" ht="18" customHeight="1" x14ac:dyDescent="0.2">
      <c r="A437" s="99">
        <f t="shared" si="68"/>
        <v>357</v>
      </c>
      <c r="B437" s="100">
        <f>B436+1</f>
        <v>83</v>
      </c>
      <c r="C437" s="131" t="s">
        <v>760</v>
      </c>
      <c r="D437" s="229" t="s">
        <v>761</v>
      </c>
      <c r="E437" s="131" t="s">
        <v>32</v>
      </c>
      <c r="F437" s="132"/>
      <c r="G437" s="162"/>
      <c r="H437" s="133">
        <v>128800000</v>
      </c>
      <c r="I437" s="184" t="s">
        <v>762</v>
      </c>
      <c r="J437" s="74"/>
      <c r="K437" s="17"/>
      <c r="L437" s="8"/>
      <c r="M437" s="8"/>
      <c r="N437" s="8"/>
      <c r="O437" s="8"/>
      <c r="P437" s="8"/>
      <c r="Q437" s="8"/>
      <c r="R437" s="8"/>
    </row>
    <row r="438" spans="1:18" ht="30.75" customHeight="1" x14ac:dyDescent="0.2">
      <c r="A438" s="99">
        <f t="shared" si="68"/>
        <v>358</v>
      </c>
      <c r="B438" s="100">
        <f>B437+1</f>
        <v>84</v>
      </c>
      <c r="C438" s="131" t="s">
        <v>763</v>
      </c>
      <c r="D438" s="229" t="s">
        <v>764</v>
      </c>
      <c r="E438" s="131" t="s">
        <v>104</v>
      </c>
      <c r="F438" s="132"/>
      <c r="G438" s="162"/>
      <c r="H438" s="133">
        <v>35355278</v>
      </c>
      <c r="I438" s="184"/>
      <c r="J438" s="74"/>
      <c r="K438" s="17"/>
      <c r="L438" s="8"/>
      <c r="M438" s="8"/>
      <c r="N438" s="8"/>
      <c r="O438" s="8"/>
      <c r="P438" s="8"/>
      <c r="Q438" s="8"/>
      <c r="R438" s="8"/>
    </row>
    <row r="439" spans="1:18" ht="21" customHeight="1" x14ac:dyDescent="0.2">
      <c r="A439" s="99">
        <f t="shared" si="68"/>
        <v>359</v>
      </c>
      <c r="B439" s="100">
        <f>B438+1</f>
        <v>85</v>
      </c>
      <c r="C439" s="131" t="s">
        <v>765</v>
      </c>
      <c r="D439" s="229" t="s">
        <v>766</v>
      </c>
      <c r="E439" s="131" t="s">
        <v>137</v>
      </c>
      <c r="F439" s="132"/>
      <c r="G439" s="162"/>
      <c r="H439" s="133">
        <v>17893191</v>
      </c>
      <c r="I439" s="184"/>
      <c r="J439" s="74"/>
      <c r="K439" s="17"/>
      <c r="L439" s="8"/>
      <c r="M439" s="8"/>
      <c r="N439" s="8"/>
      <c r="O439" s="8"/>
      <c r="P439" s="8"/>
      <c r="Q439" s="8"/>
      <c r="R439" s="8"/>
    </row>
    <row r="440" spans="1:18" ht="30.75" customHeight="1" x14ac:dyDescent="0.2">
      <c r="A440" s="99">
        <f t="shared" si="68"/>
        <v>360</v>
      </c>
      <c r="B440" s="100">
        <f>B439+1</f>
        <v>86</v>
      </c>
      <c r="C440" s="131" t="s">
        <v>767</v>
      </c>
      <c r="D440" s="229" t="s">
        <v>768</v>
      </c>
      <c r="E440" s="131" t="s">
        <v>104</v>
      </c>
      <c r="F440" s="132"/>
      <c r="G440" s="162"/>
      <c r="H440" s="133">
        <v>499175573</v>
      </c>
      <c r="I440" s="184"/>
      <c r="J440" s="74"/>
      <c r="K440" s="17"/>
      <c r="L440" s="8"/>
      <c r="M440" s="8"/>
      <c r="N440" s="8"/>
      <c r="O440" s="8"/>
      <c r="P440" s="8"/>
      <c r="Q440" s="8"/>
      <c r="R440" s="8"/>
    </row>
    <row r="441" spans="1:18" ht="30.75" customHeight="1" x14ac:dyDescent="0.2">
      <c r="A441" s="99">
        <f t="shared" si="68"/>
        <v>361</v>
      </c>
      <c r="B441" s="100">
        <f t="shared" si="68"/>
        <v>87</v>
      </c>
      <c r="C441" s="131" t="s">
        <v>769</v>
      </c>
      <c r="D441" s="229" t="s">
        <v>770</v>
      </c>
      <c r="E441" s="131" t="s">
        <v>23</v>
      </c>
      <c r="F441" s="132"/>
      <c r="G441" s="162"/>
      <c r="H441" s="133">
        <v>3643000000</v>
      </c>
      <c r="I441" s="184"/>
      <c r="J441" s="74"/>
      <c r="K441" s="17"/>
      <c r="L441" s="8"/>
      <c r="M441" s="8"/>
      <c r="N441" s="8"/>
      <c r="O441" s="8"/>
      <c r="P441" s="8"/>
      <c r="Q441" s="8"/>
      <c r="R441" s="8"/>
    </row>
    <row r="442" spans="1:18" ht="30.75" customHeight="1" x14ac:dyDescent="0.2">
      <c r="A442" s="99">
        <f>A441+1</f>
        <v>362</v>
      </c>
      <c r="B442" s="100">
        <f>B441+1</f>
        <v>88</v>
      </c>
      <c r="C442" s="131" t="s">
        <v>771</v>
      </c>
      <c r="D442" s="229" t="s">
        <v>772</v>
      </c>
      <c r="E442" s="131" t="s">
        <v>104</v>
      </c>
      <c r="F442" s="132"/>
      <c r="G442" s="162"/>
      <c r="H442" s="133">
        <f>25983607+12800155</f>
        <v>38783762</v>
      </c>
      <c r="I442" s="184"/>
      <c r="J442" s="74"/>
      <c r="K442" s="17"/>
      <c r="L442" s="8"/>
      <c r="M442" s="8"/>
      <c r="N442" s="8"/>
      <c r="O442" s="8"/>
      <c r="P442" s="8"/>
      <c r="Q442" s="8"/>
      <c r="R442" s="8"/>
    </row>
    <row r="443" spans="1:18" ht="21.75" customHeight="1" x14ac:dyDescent="0.2">
      <c r="A443" s="99">
        <f>A442+1</f>
        <v>363</v>
      </c>
      <c r="B443" s="100">
        <f>PAG.1!B442+1</f>
        <v>89</v>
      </c>
      <c r="C443" s="131" t="s">
        <v>773</v>
      </c>
      <c r="D443" s="229" t="s">
        <v>774</v>
      </c>
      <c r="E443" s="131" t="s">
        <v>104</v>
      </c>
      <c r="F443" s="132"/>
      <c r="G443" s="162"/>
      <c r="H443" s="133">
        <v>36812000</v>
      </c>
      <c r="I443" s="184"/>
      <c r="J443" s="74"/>
      <c r="K443" s="17"/>
      <c r="L443" s="8"/>
      <c r="M443" s="8"/>
      <c r="N443" s="8"/>
      <c r="O443" s="8"/>
      <c r="P443" s="8"/>
      <c r="Q443" s="8"/>
      <c r="R443" s="8"/>
    </row>
    <row r="444" spans="1:18" ht="30.75" customHeight="1" x14ac:dyDescent="0.2">
      <c r="A444" s="99">
        <f t="shared" ref="A444:A469" si="69">A443+1</f>
        <v>364</v>
      </c>
      <c r="B444" s="100">
        <f>PAG.1!B443+1</f>
        <v>90</v>
      </c>
      <c r="C444" s="131" t="s">
        <v>775</v>
      </c>
      <c r="D444" s="229" t="s">
        <v>776</v>
      </c>
      <c r="E444" s="131" t="s">
        <v>104</v>
      </c>
      <c r="F444" s="132"/>
      <c r="G444" s="162"/>
      <c r="H444" s="133">
        <v>42703410</v>
      </c>
      <c r="I444" s="184"/>
      <c r="J444" s="74"/>
      <c r="K444" s="17"/>
      <c r="L444" s="8"/>
      <c r="M444" s="8"/>
      <c r="N444" s="8"/>
      <c r="O444" s="8"/>
      <c r="P444" s="8"/>
      <c r="Q444" s="8"/>
      <c r="R444" s="8"/>
    </row>
    <row r="445" spans="1:18" ht="30.75" customHeight="1" x14ac:dyDescent="0.2">
      <c r="A445" s="99">
        <f t="shared" si="69"/>
        <v>365</v>
      </c>
      <c r="B445" s="100">
        <f>PAG.1!B444+1</f>
        <v>91</v>
      </c>
      <c r="C445" s="131" t="s">
        <v>777</v>
      </c>
      <c r="D445" s="229" t="s">
        <v>778</v>
      </c>
      <c r="E445" s="131" t="s">
        <v>104</v>
      </c>
      <c r="F445" s="132"/>
      <c r="G445" s="162"/>
      <c r="H445" s="133">
        <v>20219000</v>
      </c>
      <c r="I445" s="184"/>
      <c r="J445" s="74"/>
      <c r="K445" s="17"/>
      <c r="L445" s="8"/>
      <c r="M445" s="8"/>
      <c r="N445" s="8"/>
      <c r="O445" s="8"/>
      <c r="P445" s="8"/>
      <c r="Q445" s="8"/>
      <c r="R445" s="8"/>
    </row>
    <row r="446" spans="1:18" ht="39.75" customHeight="1" x14ac:dyDescent="0.2">
      <c r="A446" s="99">
        <f t="shared" si="69"/>
        <v>366</v>
      </c>
      <c r="B446" s="100">
        <f>PAG.1!B445+1</f>
        <v>92</v>
      </c>
      <c r="C446" s="131" t="s">
        <v>779</v>
      </c>
      <c r="D446" s="229" t="s">
        <v>780</v>
      </c>
      <c r="E446" s="131" t="s">
        <v>610</v>
      </c>
      <c r="F446" s="132">
        <v>911213824</v>
      </c>
      <c r="G446" s="162"/>
      <c r="H446" s="133">
        <v>1680000000</v>
      </c>
      <c r="I446" s="184"/>
      <c r="J446" s="74"/>
      <c r="K446" s="17"/>
      <c r="L446" s="8"/>
      <c r="M446" s="8"/>
      <c r="N446" s="8"/>
      <c r="O446" s="8"/>
      <c r="P446" s="8"/>
      <c r="Q446" s="8"/>
      <c r="R446" s="8"/>
    </row>
    <row r="447" spans="1:18" ht="26.25" customHeight="1" x14ac:dyDescent="0.2">
      <c r="A447" s="99">
        <f t="shared" si="69"/>
        <v>367</v>
      </c>
      <c r="B447" s="100">
        <f>PAG.1!B446+1</f>
        <v>93</v>
      </c>
      <c r="C447" s="131" t="s">
        <v>781</v>
      </c>
      <c r="D447" s="229" t="s">
        <v>782</v>
      </c>
      <c r="E447" s="131" t="s">
        <v>104</v>
      </c>
      <c r="F447" s="132"/>
      <c r="G447" s="162"/>
      <c r="H447" s="133">
        <v>8830000</v>
      </c>
      <c r="I447" s="184"/>
      <c r="J447" s="74"/>
      <c r="K447" s="17"/>
      <c r="L447" s="8"/>
      <c r="M447" s="8"/>
      <c r="N447" s="8"/>
      <c r="O447" s="8"/>
      <c r="P447" s="8"/>
      <c r="Q447" s="8"/>
      <c r="R447" s="8"/>
    </row>
    <row r="448" spans="1:18" ht="26.25" customHeight="1" x14ac:dyDescent="0.2">
      <c r="A448" s="99">
        <f t="shared" si="69"/>
        <v>368</v>
      </c>
      <c r="B448" s="100">
        <f>PAG.1!B447+1</f>
        <v>94</v>
      </c>
      <c r="C448" s="131" t="s">
        <v>783</v>
      </c>
      <c r="D448" s="229" t="s">
        <v>784</v>
      </c>
      <c r="E448" s="116" t="s">
        <v>603</v>
      </c>
      <c r="F448" s="132"/>
      <c r="G448" s="162"/>
      <c r="H448" s="133">
        <v>95000000</v>
      </c>
      <c r="I448" s="184"/>
      <c r="J448" s="74"/>
      <c r="K448" s="17"/>
      <c r="L448" s="8"/>
      <c r="M448" s="8"/>
      <c r="N448" s="8"/>
      <c r="O448" s="8"/>
      <c r="P448" s="8"/>
      <c r="Q448" s="8"/>
      <c r="R448" s="8"/>
    </row>
    <row r="449" spans="1:112" ht="36" x14ac:dyDescent="0.2">
      <c r="A449" s="99">
        <f t="shared" si="69"/>
        <v>369</v>
      </c>
      <c r="B449" s="100">
        <f>PAG.1!B448+1</f>
        <v>95</v>
      </c>
      <c r="C449" s="131" t="s">
        <v>785</v>
      </c>
      <c r="D449" s="229" t="s">
        <v>786</v>
      </c>
      <c r="E449" s="131" t="s">
        <v>104</v>
      </c>
      <c r="F449" s="132"/>
      <c r="G449" s="162"/>
      <c r="H449" s="133">
        <v>272040106</v>
      </c>
      <c r="I449" s="184"/>
      <c r="J449" s="74"/>
      <c r="K449" s="17"/>
      <c r="L449" s="8"/>
      <c r="M449" s="8"/>
      <c r="N449" s="8"/>
      <c r="O449" s="8"/>
      <c r="P449" s="8"/>
      <c r="Q449" s="8"/>
      <c r="R449" s="8"/>
    </row>
    <row r="450" spans="1:112" ht="26.25" customHeight="1" x14ac:dyDescent="0.2">
      <c r="A450" s="99">
        <f t="shared" si="69"/>
        <v>370</v>
      </c>
      <c r="B450" s="100">
        <f>PAG.1!B449+1</f>
        <v>96</v>
      </c>
      <c r="C450" s="131" t="s">
        <v>787</v>
      </c>
      <c r="D450" s="229" t="s">
        <v>788</v>
      </c>
      <c r="E450" s="131" t="s">
        <v>104</v>
      </c>
      <c r="F450" s="132"/>
      <c r="G450" s="162"/>
      <c r="H450" s="133">
        <v>12131848.35</v>
      </c>
      <c r="I450" s="184"/>
      <c r="J450" s="213"/>
      <c r="K450" s="213"/>
      <c r="L450" s="8"/>
      <c r="M450" s="8"/>
      <c r="N450" s="8"/>
      <c r="O450" s="8"/>
      <c r="P450" s="8"/>
      <c r="Q450" s="8"/>
      <c r="R450" s="8"/>
    </row>
    <row r="451" spans="1:112" ht="40.5" customHeight="1" x14ac:dyDescent="0.2">
      <c r="A451" s="99">
        <f t="shared" si="69"/>
        <v>371</v>
      </c>
      <c r="B451" s="100">
        <f>PAG.1!B450+1</f>
        <v>97</v>
      </c>
      <c r="C451" s="244" t="s">
        <v>1184</v>
      </c>
      <c r="D451" s="229" t="s">
        <v>790</v>
      </c>
      <c r="E451" s="131" t="s">
        <v>610</v>
      </c>
      <c r="F451" s="132"/>
      <c r="G451" s="162"/>
      <c r="H451" s="199">
        <f>(68221094+26941491+69422374)/1.18</f>
        <v>139478778.81355932</v>
      </c>
      <c r="I451" s="184" t="s">
        <v>791</v>
      </c>
      <c r="J451" s="213"/>
      <c r="K451" s="213"/>
      <c r="L451" s="8"/>
      <c r="M451" s="8"/>
      <c r="N451" s="8"/>
      <c r="O451" s="8"/>
      <c r="P451" s="8"/>
      <c r="Q451" s="8"/>
      <c r="R451" s="8"/>
    </row>
    <row r="452" spans="1:112" ht="40.5" customHeight="1" x14ac:dyDescent="0.2">
      <c r="A452" s="99">
        <f t="shared" si="69"/>
        <v>372</v>
      </c>
      <c r="B452" s="100">
        <f>PAG.1!B451+1</f>
        <v>98</v>
      </c>
      <c r="C452" s="131" t="s">
        <v>789</v>
      </c>
      <c r="D452" s="229" t="s">
        <v>792</v>
      </c>
      <c r="E452" s="131" t="s">
        <v>610</v>
      </c>
      <c r="F452" s="132"/>
      <c r="G452" s="162"/>
      <c r="H452" s="199">
        <f>(74411308+87718350+36106152)/1.18</f>
        <v>167996449.15254238</v>
      </c>
      <c r="I452" s="184" t="s">
        <v>793</v>
      </c>
      <c r="J452" s="213"/>
      <c r="K452" s="213"/>
      <c r="L452" s="8"/>
      <c r="M452" s="8"/>
      <c r="N452" s="8"/>
      <c r="O452" s="8"/>
      <c r="P452" s="8"/>
      <c r="Q452" s="8"/>
      <c r="R452" s="8"/>
    </row>
    <row r="453" spans="1:112" ht="23.25" customHeight="1" x14ac:dyDescent="0.2">
      <c r="A453" s="99">
        <f t="shared" si="69"/>
        <v>373</v>
      </c>
      <c r="B453" s="100">
        <f>PAG.1!B452+1</f>
        <v>99</v>
      </c>
      <c r="C453" s="131" t="s">
        <v>794</v>
      </c>
      <c r="D453" s="229" t="s">
        <v>795</v>
      </c>
      <c r="E453" s="131" t="s">
        <v>14</v>
      </c>
      <c r="F453" s="132">
        <v>400000000</v>
      </c>
      <c r="G453" s="162"/>
      <c r="H453" s="133">
        <v>1950000000</v>
      </c>
      <c r="I453" s="184"/>
      <c r="J453" s="213"/>
      <c r="K453" s="213"/>
      <c r="L453" s="8"/>
      <c r="M453" s="8"/>
      <c r="N453" s="8"/>
      <c r="O453" s="8"/>
      <c r="P453" s="8"/>
      <c r="Q453" s="8"/>
      <c r="R453" s="8"/>
    </row>
    <row r="454" spans="1:112" ht="27" customHeight="1" x14ac:dyDescent="0.2">
      <c r="A454" s="99">
        <f t="shared" si="69"/>
        <v>374</v>
      </c>
      <c r="B454" s="100">
        <f>PAG.1!B453+1</f>
        <v>100</v>
      </c>
      <c r="C454" s="131" t="s">
        <v>796</v>
      </c>
      <c r="D454" s="229" t="s">
        <v>797</v>
      </c>
      <c r="E454" s="131" t="s">
        <v>603</v>
      </c>
      <c r="F454" s="132"/>
      <c r="G454" s="162"/>
      <c r="H454" s="133">
        <v>229000000</v>
      </c>
      <c r="I454" s="184"/>
      <c r="J454" s="213"/>
      <c r="K454" s="213"/>
      <c r="L454" s="8"/>
      <c r="M454" s="8"/>
      <c r="N454" s="8"/>
      <c r="O454" s="8"/>
      <c r="P454" s="8"/>
      <c r="Q454" s="8"/>
      <c r="R454" s="8"/>
    </row>
    <row r="455" spans="1:112" ht="60" x14ac:dyDescent="0.2">
      <c r="A455" s="99">
        <f t="shared" si="69"/>
        <v>375</v>
      </c>
      <c r="B455" s="100">
        <f>PAG.1!B524+1</f>
        <v>102</v>
      </c>
      <c r="C455" s="131" t="s">
        <v>801</v>
      </c>
      <c r="D455" s="229" t="s">
        <v>802</v>
      </c>
      <c r="E455" s="131" t="s">
        <v>104</v>
      </c>
      <c r="F455" s="132"/>
      <c r="G455" s="162"/>
      <c r="H455" s="133">
        <f>58534456.55+19376969.65+12841557.14</f>
        <v>90752983.339999989</v>
      </c>
      <c r="I455" s="184" t="s">
        <v>803</v>
      </c>
      <c r="J455" s="213"/>
      <c r="K455" s="213"/>
      <c r="L455" s="8"/>
      <c r="M455" s="8"/>
      <c r="N455" s="8"/>
      <c r="O455" s="8"/>
      <c r="P455" s="8"/>
      <c r="Q455" s="8"/>
      <c r="R455" s="8"/>
    </row>
    <row r="456" spans="1:112" ht="24" x14ac:dyDescent="0.2">
      <c r="A456" s="99">
        <f t="shared" si="69"/>
        <v>376</v>
      </c>
      <c r="B456" s="100">
        <f>PAG.1!B455+1</f>
        <v>103</v>
      </c>
      <c r="C456" s="131" t="s">
        <v>804</v>
      </c>
      <c r="D456" s="229" t="s">
        <v>805</v>
      </c>
      <c r="E456" s="131" t="s">
        <v>104</v>
      </c>
      <c r="F456" s="132"/>
      <c r="G456" s="162"/>
      <c r="H456" s="133">
        <f>11030302+7308806</f>
        <v>18339108</v>
      </c>
      <c r="I456" s="184" t="s">
        <v>806</v>
      </c>
      <c r="J456" s="213"/>
      <c r="K456" s="213"/>
      <c r="L456" s="8"/>
      <c r="M456" s="8"/>
      <c r="N456" s="8"/>
      <c r="O456" s="8"/>
      <c r="P456" s="8"/>
      <c r="Q456" s="8"/>
      <c r="R456" s="8"/>
    </row>
    <row r="457" spans="1:112" ht="24" x14ac:dyDescent="0.2">
      <c r="A457" s="99">
        <f t="shared" si="69"/>
        <v>377</v>
      </c>
      <c r="B457" s="100">
        <f>PAG.1!B456+1</f>
        <v>104</v>
      </c>
      <c r="C457" s="131" t="s">
        <v>807</v>
      </c>
      <c r="D457" s="229" t="s">
        <v>808</v>
      </c>
      <c r="E457" s="131" t="s">
        <v>104</v>
      </c>
      <c r="F457" s="132"/>
      <c r="G457" s="162"/>
      <c r="H457" s="133">
        <f>15276449.17+13545377</f>
        <v>28821826.170000002</v>
      </c>
      <c r="I457" s="184" t="s">
        <v>809</v>
      </c>
      <c r="J457" s="213"/>
      <c r="K457" s="213"/>
      <c r="L457" s="8"/>
      <c r="M457" s="8"/>
      <c r="N457" s="8"/>
      <c r="O457" s="8"/>
      <c r="P457" s="8"/>
      <c r="Q457" s="8"/>
      <c r="R457" s="8"/>
    </row>
    <row r="458" spans="1:112" ht="34.5" customHeight="1" x14ac:dyDescent="0.2">
      <c r="A458" s="99">
        <f t="shared" si="69"/>
        <v>378</v>
      </c>
      <c r="B458" s="100">
        <f>PAG.1!B457+1</f>
        <v>105</v>
      </c>
      <c r="C458" s="131" t="s">
        <v>810</v>
      </c>
      <c r="D458" s="229" t="s">
        <v>811</v>
      </c>
      <c r="E458" s="131" t="s">
        <v>104</v>
      </c>
      <c r="F458" s="132"/>
      <c r="G458" s="162"/>
      <c r="H458" s="133">
        <f>9511863.42+8436426</f>
        <v>17948289.420000002</v>
      </c>
      <c r="I458" s="184" t="s">
        <v>812</v>
      </c>
      <c r="J458" s="213"/>
      <c r="K458" s="213"/>
      <c r="L458" s="8"/>
      <c r="M458" s="8"/>
      <c r="N458" s="8"/>
      <c r="O458" s="8"/>
      <c r="P458" s="8"/>
      <c r="Q458" s="8"/>
      <c r="R458" s="8"/>
    </row>
    <row r="459" spans="1:112" ht="36" x14ac:dyDescent="0.2">
      <c r="A459" s="99">
        <f t="shared" si="69"/>
        <v>379</v>
      </c>
      <c r="B459" s="100">
        <f>PAG.1!B458+1</f>
        <v>106</v>
      </c>
      <c r="C459" s="131" t="s">
        <v>813</v>
      </c>
      <c r="D459" s="229" t="s">
        <v>814</v>
      </c>
      <c r="E459" s="131" t="s">
        <v>104</v>
      </c>
      <c r="F459" s="132"/>
      <c r="G459" s="162"/>
      <c r="H459" s="133">
        <f>44020232.57+29121942.72</f>
        <v>73142175.289999992</v>
      </c>
      <c r="I459" s="184" t="s">
        <v>815</v>
      </c>
      <c r="J459" s="213"/>
      <c r="K459" s="213"/>
      <c r="L459" s="8"/>
      <c r="M459" s="8"/>
      <c r="N459" s="8"/>
      <c r="O459" s="8"/>
      <c r="P459" s="8"/>
      <c r="Q459" s="8"/>
      <c r="R459" s="8"/>
    </row>
    <row r="460" spans="1:112" ht="84" x14ac:dyDescent="0.2">
      <c r="A460" s="99">
        <f t="shared" si="69"/>
        <v>380</v>
      </c>
      <c r="B460" s="100">
        <f>PAG.1!B459+1</f>
        <v>107</v>
      </c>
      <c r="C460" s="131" t="s">
        <v>816</v>
      </c>
      <c r="D460" s="229" t="s">
        <v>817</v>
      </c>
      <c r="E460" s="131" t="s">
        <v>818</v>
      </c>
      <c r="F460" s="132"/>
      <c r="G460" s="162"/>
      <c r="H460" s="133">
        <v>323000000</v>
      </c>
      <c r="I460" s="184" t="s">
        <v>819</v>
      </c>
      <c r="J460" s="213"/>
      <c r="K460" s="213"/>
      <c r="L460" s="8"/>
      <c r="M460" s="8"/>
      <c r="N460" s="8"/>
      <c r="O460" s="8"/>
      <c r="P460" s="8"/>
      <c r="Q460" s="8"/>
      <c r="R460" s="8"/>
    </row>
    <row r="461" spans="1:112" s="70" customFormat="1" ht="24.75" customHeight="1" x14ac:dyDescent="0.2">
      <c r="A461" s="99">
        <f t="shared" si="69"/>
        <v>381</v>
      </c>
      <c r="B461" s="100">
        <f>PAG.1!B460+1</f>
        <v>108</v>
      </c>
      <c r="C461" s="131" t="s">
        <v>1151</v>
      </c>
      <c r="D461" s="229" t="s">
        <v>1153</v>
      </c>
      <c r="E461" s="131" t="s">
        <v>104</v>
      </c>
      <c r="F461" s="132"/>
      <c r="G461" s="162"/>
      <c r="H461" s="133">
        <v>107693115.23</v>
      </c>
      <c r="I461" s="184"/>
      <c r="J461" s="74"/>
      <c r="K461" s="17"/>
      <c r="L461" s="11"/>
      <c r="M461" s="11"/>
      <c r="N461" s="11"/>
      <c r="O461" s="11"/>
      <c r="P461" s="11"/>
      <c r="Q461" s="11"/>
      <c r="R461" s="11"/>
      <c r="S461" s="8"/>
      <c r="T461" s="8"/>
      <c r="U461" s="8"/>
      <c r="V461" s="8"/>
      <c r="W461" s="8"/>
      <c r="X461" s="8"/>
      <c r="Y461" s="8"/>
      <c r="Z461" s="8"/>
      <c r="AA461" s="8"/>
      <c r="AB461" s="8"/>
      <c r="AC461" s="8"/>
      <c r="AD461" s="8"/>
      <c r="AE461" s="8"/>
      <c r="AF461" s="8"/>
      <c r="AG461" s="8"/>
      <c r="AH461" s="8"/>
      <c r="AI461" s="8"/>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c r="BO461" s="9"/>
      <c r="BP461" s="9"/>
      <c r="BQ461" s="9"/>
      <c r="BR461" s="9"/>
      <c r="BS461" s="9"/>
      <c r="BT461" s="9"/>
      <c r="BU461" s="9"/>
      <c r="BV461" s="9"/>
      <c r="BW461" s="9"/>
      <c r="BX461" s="9"/>
      <c r="BY461" s="9"/>
      <c r="BZ461" s="9"/>
      <c r="CA461" s="9"/>
      <c r="CB461" s="9"/>
      <c r="CC461" s="9"/>
      <c r="CD461" s="9"/>
      <c r="CE461" s="9"/>
      <c r="CF461" s="9"/>
      <c r="CG461" s="9"/>
      <c r="CH461" s="9"/>
      <c r="CI461" s="9"/>
      <c r="CJ461" s="9"/>
      <c r="CK461" s="9"/>
      <c r="CL461" s="9"/>
      <c r="CM461" s="9"/>
      <c r="CN461" s="9"/>
      <c r="CO461" s="9"/>
      <c r="CP461" s="9"/>
      <c r="CQ461" s="9"/>
      <c r="CR461" s="9"/>
      <c r="CS461" s="9"/>
      <c r="CT461" s="9"/>
      <c r="CU461" s="9"/>
      <c r="CV461" s="9"/>
      <c r="CW461" s="9"/>
      <c r="CX461" s="9"/>
      <c r="CY461" s="9"/>
      <c r="CZ461" s="9"/>
      <c r="DA461" s="9"/>
      <c r="DB461" s="9"/>
      <c r="DC461" s="9"/>
      <c r="DD461" s="9"/>
      <c r="DE461" s="9"/>
      <c r="DF461" s="9"/>
      <c r="DG461" s="9"/>
      <c r="DH461" s="23"/>
    </row>
    <row r="462" spans="1:112" ht="71.25" customHeight="1" x14ac:dyDescent="0.2">
      <c r="A462" s="99">
        <f t="shared" si="69"/>
        <v>382</v>
      </c>
      <c r="B462" s="100">
        <f>PAG.1!B461+1</f>
        <v>109</v>
      </c>
      <c r="C462" s="131" t="s">
        <v>1152</v>
      </c>
      <c r="D462" s="229" t="s">
        <v>1154</v>
      </c>
      <c r="E462" s="131" t="s">
        <v>104</v>
      </c>
      <c r="F462" s="132"/>
      <c r="G462" s="162"/>
      <c r="H462" s="133">
        <v>118125065.88</v>
      </c>
      <c r="I462" s="184" t="s">
        <v>1155</v>
      </c>
      <c r="J462" s="74">
        <f>+F471</f>
        <v>0</v>
      </c>
      <c r="K462" s="17">
        <f>+H471</f>
        <v>0</v>
      </c>
    </row>
    <row r="463" spans="1:112" ht="48" customHeight="1" x14ac:dyDescent="0.2">
      <c r="A463" s="99">
        <f t="shared" si="69"/>
        <v>383</v>
      </c>
      <c r="B463" s="100">
        <v>110</v>
      </c>
      <c r="C463" s="131" t="s">
        <v>1157</v>
      </c>
      <c r="D463" s="229" t="s">
        <v>1158</v>
      </c>
      <c r="E463" s="131" t="s">
        <v>104</v>
      </c>
      <c r="F463" s="132"/>
      <c r="G463" s="162"/>
      <c r="H463" s="133">
        <v>607219661</v>
      </c>
      <c r="I463" s="184" t="s">
        <v>1159</v>
      </c>
      <c r="J463" s="74"/>
      <c r="K463" s="17"/>
    </row>
    <row r="464" spans="1:112" ht="99.75" customHeight="1" x14ac:dyDescent="0.2">
      <c r="A464" s="99">
        <f t="shared" si="69"/>
        <v>384</v>
      </c>
      <c r="B464" s="100">
        <f>PAG.1!B463+1</f>
        <v>111</v>
      </c>
      <c r="C464" s="131" t="s">
        <v>1168</v>
      </c>
      <c r="D464" s="229" t="s">
        <v>1165</v>
      </c>
      <c r="E464" s="131" t="s">
        <v>104</v>
      </c>
      <c r="F464" s="132"/>
      <c r="G464" s="162"/>
      <c r="H464" s="133">
        <v>152885086.52000001</v>
      </c>
      <c r="I464" s="184" t="s">
        <v>1166</v>
      </c>
      <c r="J464" s="74"/>
      <c r="K464" s="17"/>
    </row>
    <row r="465" spans="1:18" ht="21.75" customHeight="1" x14ac:dyDescent="0.2">
      <c r="A465" s="99">
        <f t="shared" si="69"/>
        <v>385</v>
      </c>
      <c r="B465" s="100">
        <f>PAG.1!B464+1</f>
        <v>112</v>
      </c>
      <c r="C465" s="131" t="s">
        <v>1169</v>
      </c>
      <c r="D465" s="229" t="s">
        <v>1171</v>
      </c>
      <c r="E465" s="131" t="s">
        <v>1174</v>
      </c>
      <c r="F465" s="132"/>
      <c r="G465" s="162"/>
      <c r="H465" s="133">
        <v>564204895</v>
      </c>
      <c r="I465" s="184"/>
      <c r="J465" s="74"/>
      <c r="K465" s="17"/>
    </row>
    <row r="466" spans="1:18" ht="149.25" customHeight="1" x14ac:dyDescent="0.2">
      <c r="A466" s="99">
        <f t="shared" si="69"/>
        <v>386</v>
      </c>
      <c r="B466" s="136">
        <f>PAG.1!B465+1</f>
        <v>113</v>
      </c>
      <c r="C466" s="116" t="s">
        <v>1170</v>
      </c>
      <c r="D466" s="227" t="s">
        <v>1172</v>
      </c>
      <c r="E466" s="116" t="s">
        <v>104</v>
      </c>
      <c r="F466" s="132"/>
      <c r="G466" s="160"/>
      <c r="H466" s="133">
        <v>404449903.55000001</v>
      </c>
      <c r="I466" s="184" t="s">
        <v>1173</v>
      </c>
      <c r="J466" s="74"/>
      <c r="K466" s="17"/>
    </row>
    <row r="467" spans="1:18" ht="79.5" customHeight="1" x14ac:dyDescent="0.2">
      <c r="A467" s="99">
        <f t="shared" si="69"/>
        <v>387</v>
      </c>
      <c r="B467" s="238">
        <f>PAG.1!B466+1</f>
        <v>114</v>
      </c>
      <c r="C467" s="1" t="s">
        <v>1177</v>
      </c>
      <c r="D467" s="224" t="s">
        <v>1178</v>
      </c>
      <c r="E467" s="104" t="s">
        <v>104</v>
      </c>
      <c r="F467" s="239"/>
      <c r="G467" s="156"/>
      <c r="H467" s="240">
        <v>94543333</v>
      </c>
      <c r="I467" s="177" t="s">
        <v>1179</v>
      </c>
      <c r="J467" s="74"/>
      <c r="K467" s="17"/>
    </row>
    <row r="468" spans="1:18" ht="21.75" customHeight="1" x14ac:dyDescent="0.2">
      <c r="A468" s="99">
        <f t="shared" si="69"/>
        <v>388</v>
      </c>
      <c r="B468" s="136"/>
      <c r="C468" s="116" t="s">
        <v>1189</v>
      </c>
      <c r="D468" s="227" t="s">
        <v>1190</v>
      </c>
      <c r="E468" s="116" t="s">
        <v>32</v>
      </c>
      <c r="F468" s="132"/>
      <c r="G468" s="160"/>
      <c r="H468" s="133">
        <f>1352.7*1000000</f>
        <v>1352700000</v>
      </c>
      <c r="I468" s="184"/>
      <c r="J468" s="74"/>
      <c r="K468" s="17"/>
    </row>
    <row r="469" spans="1:18" ht="96" customHeight="1" x14ac:dyDescent="0.2">
      <c r="A469" s="99">
        <f t="shared" si="69"/>
        <v>389</v>
      </c>
      <c r="B469" s="238"/>
      <c r="C469" s="1" t="s">
        <v>1191</v>
      </c>
      <c r="D469" s="224" t="s">
        <v>1192</v>
      </c>
      <c r="E469" s="104" t="s">
        <v>104</v>
      </c>
      <c r="F469" s="239"/>
      <c r="G469" s="156"/>
      <c r="H469" s="240">
        <v>213915649.22</v>
      </c>
      <c r="I469" s="177" t="s">
        <v>1193</v>
      </c>
      <c r="J469" s="74"/>
      <c r="K469" s="17"/>
    </row>
    <row r="470" spans="1:18" ht="15.95" customHeight="1" x14ac:dyDescent="0.2">
      <c r="A470" s="149" t="s">
        <v>579</v>
      </c>
      <c r="B470" s="3"/>
      <c r="C470" s="2"/>
      <c r="D470" s="225"/>
      <c r="E470" s="2"/>
      <c r="F470" s="134">
        <f>SUM(F355:F469)</f>
        <v>2191302567.0461016</v>
      </c>
      <c r="G470" s="164"/>
      <c r="H470" s="134">
        <f>SUM(H355:H469)</f>
        <v>36149901791.373611</v>
      </c>
      <c r="I470" s="187"/>
      <c r="J470" s="74">
        <f>F472+H472</f>
        <v>38555304358.419716</v>
      </c>
      <c r="K470" s="17"/>
    </row>
    <row r="471" spans="1:18" ht="9.9499999999999993" customHeight="1" x14ac:dyDescent="0.2">
      <c r="A471" s="80"/>
      <c r="B471" s="14"/>
      <c r="C471" s="64"/>
      <c r="D471" s="226"/>
      <c r="E471" s="64"/>
      <c r="F471" s="15"/>
      <c r="G471" s="158"/>
      <c r="H471" s="15"/>
      <c r="I471" s="188"/>
      <c r="J471" s="74">
        <f>+F473</f>
        <v>0</v>
      </c>
      <c r="K471" s="17">
        <f>+H473</f>
        <v>0</v>
      </c>
    </row>
    <row r="472" spans="1:18" ht="15.75" customHeight="1" x14ac:dyDescent="0.2">
      <c r="A472" s="92" t="s">
        <v>820</v>
      </c>
      <c r="B472" s="92"/>
      <c r="C472" s="92"/>
      <c r="D472" s="233"/>
      <c r="E472" s="92"/>
      <c r="F472" s="148">
        <f>+F352+F470</f>
        <v>2226402567.0461016</v>
      </c>
      <c r="G472" s="167"/>
      <c r="H472" s="148">
        <f>+H352+H470</f>
        <v>36328901791.373611</v>
      </c>
      <c r="I472" s="167"/>
      <c r="J472" s="74">
        <f>+F474</f>
        <v>0</v>
      </c>
      <c r="K472" s="17">
        <f>+H474</f>
        <v>0</v>
      </c>
    </row>
    <row r="473" spans="1:18" ht="6" customHeight="1" x14ac:dyDescent="0.2">
      <c r="A473" s="14"/>
      <c r="B473" s="14"/>
      <c r="C473" s="64"/>
      <c r="D473" s="226"/>
      <c r="E473" s="64"/>
      <c r="F473" s="13"/>
      <c r="G473" s="169"/>
      <c r="H473" s="55"/>
      <c r="I473" s="189"/>
      <c r="J473" s="74">
        <f>+F475</f>
        <v>0</v>
      </c>
      <c r="K473" s="17">
        <f>+H475</f>
        <v>0</v>
      </c>
    </row>
    <row r="474" spans="1:18" ht="15.95" customHeight="1" x14ac:dyDescent="0.2">
      <c r="A474" s="247" t="s">
        <v>821</v>
      </c>
      <c r="B474" s="247"/>
      <c r="C474" s="247"/>
      <c r="D474" s="247"/>
      <c r="E474" s="247"/>
      <c r="F474" s="247"/>
      <c r="G474" s="247"/>
      <c r="H474" s="247"/>
      <c r="I474" s="247"/>
      <c r="J474" s="74">
        <f>+F476</f>
        <v>0</v>
      </c>
      <c r="K474" s="17">
        <f>+H476</f>
        <v>0</v>
      </c>
    </row>
    <row r="475" spans="1:18" ht="15.95" customHeight="1" x14ac:dyDescent="0.2">
      <c r="A475" s="14"/>
      <c r="B475" s="14"/>
      <c r="C475" s="64"/>
      <c r="D475" s="226"/>
      <c r="E475" s="64"/>
      <c r="F475" s="14"/>
      <c r="G475" s="168"/>
      <c r="H475" s="14"/>
      <c r="I475" s="168"/>
      <c r="J475" s="74"/>
      <c r="K475" s="17">
        <f>+H477</f>
        <v>2000000</v>
      </c>
      <c r="L475" s="8"/>
      <c r="M475" s="8"/>
      <c r="N475" s="8"/>
      <c r="O475" s="8"/>
      <c r="P475" s="8"/>
      <c r="Q475" s="8"/>
      <c r="R475" s="8"/>
    </row>
    <row r="476" spans="1:18" ht="15.95" customHeight="1" x14ac:dyDescent="0.2">
      <c r="A476" s="248" t="s">
        <v>822</v>
      </c>
      <c r="B476" s="249"/>
      <c r="C476" s="249"/>
      <c r="D476" s="249"/>
      <c r="E476" s="249"/>
      <c r="F476" s="249"/>
      <c r="G476" s="249"/>
      <c r="H476" s="249"/>
      <c r="I476" s="250"/>
      <c r="J476" s="74"/>
      <c r="K476" s="17"/>
      <c r="L476" s="8"/>
      <c r="M476" s="8"/>
      <c r="N476" s="8"/>
      <c r="O476" s="8"/>
      <c r="P476" s="8"/>
      <c r="Q476" s="8"/>
      <c r="R476" s="8"/>
    </row>
    <row r="477" spans="1:18" ht="15.95" customHeight="1" x14ac:dyDescent="0.2">
      <c r="A477" s="127">
        <f>A469+1</f>
        <v>390</v>
      </c>
      <c r="B477" s="112">
        <v>1</v>
      </c>
      <c r="C477" s="116" t="s">
        <v>823</v>
      </c>
      <c r="D477" s="227" t="s">
        <v>824</v>
      </c>
      <c r="E477" s="116" t="s">
        <v>14</v>
      </c>
      <c r="F477" s="118">
        <v>328000</v>
      </c>
      <c r="G477" s="160"/>
      <c r="H477" s="120">
        <v>2000000</v>
      </c>
      <c r="I477" s="179" t="s">
        <v>40</v>
      </c>
      <c r="J477" s="74">
        <f>H479+F479</f>
        <v>410348000</v>
      </c>
      <c r="K477" s="17"/>
      <c r="L477" s="56">
        <v>30000</v>
      </c>
      <c r="M477" s="8"/>
      <c r="N477" s="8"/>
      <c r="O477" s="8"/>
      <c r="P477" s="8"/>
      <c r="Q477" s="8"/>
      <c r="R477" s="8"/>
    </row>
    <row r="478" spans="1:18" ht="9.9499999999999993" customHeight="1" x14ac:dyDescent="0.2">
      <c r="A478" s="129">
        <f>A477+1</f>
        <v>391</v>
      </c>
      <c r="B478" s="130">
        <v>2</v>
      </c>
      <c r="C478" s="131" t="s">
        <v>825</v>
      </c>
      <c r="D478" s="229" t="s">
        <v>826</v>
      </c>
      <c r="E478" s="131" t="s">
        <v>14</v>
      </c>
      <c r="F478" s="132">
        <v>8020000</v>
      </c>
      <c r="G478" s="162"/>
      <c r="H478" s="133">
        <v>400000000</v>
      </c>
      <c r="I478" s="184"/>
      <c r="J478" s="74">
        <f t="shared" ref="J478:J499" si="70">+F480</f>
        <v>0</v>
      </c>
      <c r="K478" s="17">
        <f t="shared" ref="K478:K499" si="71">+H480</f>
        <v>0</v>
      </c>
      <c r="L478" s="57" t="s">
        <v>828</v>
      </c>
    </row>
    <row r="479" spans="1:18" ht="15.95" customHeight="1" x14ac:dyDescent="0.2">
      <c r="A479" s="149" t="s">
        <v>827</v>
      </c>
      <c r="B479" s="3"/>
      <c r="C479" s="2"/>
      <c r="D479" s="225"/>
      <c r="E479" s="2"/>
      <c r="F479" s="134">
        <f>SUM(F477:F478)</f>
        <v>8348000</v>
      </c>
      <c r="G479" s="164"/>
      <c r="H479" s="134">
        <f>SUM(H477:H478)</f>
        <v>402000000</v>
      </c>
      <c r="I479" s="187"/>
      <c r="J479" s="74">
        <f t="shared" si="70"/>
        <v>0</v>
      </c>
      <c r="K479" s="17">
        <f t="shared" si="71"/>
        <v>0</v>
      </c>
      <c r="L479" s="57">
        <f>10125*4</f>
        <v>40500</v>
      </c>
    </row>
    <row r="480" spans="1:18" ht="15.95" customHeight="1" x14ac:dyDescent="0.2">
      <c r="A480" s="80"/>
      <c r="B480" s="14"/>
      <c r="C480" s="64"/>
      <c r="D480" s="226"/>
      <c r="E480" s="64"/>
      <c r="F480" s="15"/>
      <c r="G480" s="158"/>
      <c r="H480" s="59"/>
      <c r="I480" s="188"/>
      <c r="J480" s="74">
        <f t="shared" si="70"/>
        <v>2100000</v>
      </c>
      <c r="K480" s="17">
        <f t="shared" si="71"/>
        <v>2450000</v>
      </c>
      <c r="L480" s="57">
        <f>33750*4</f>
        <v>135000</v>
      </c>
    </row>
    <row r="481" spans="1:112" s="26" customFormat="1" ht="15.95" customHeight="1" x14ac:dyDescent="0.2">
      <c r="A481" s="248" t="s">
        <v>829</v>
      </c>
      <c r="B481" s="249"/>
      <c r="C481" s="249"/>
      <c r="D481" s="249"/>
      <c r="E481" s="249"/>
      <c r="F481" s="249"/>
      <c r="G481" s="249"/>
      <c r="H481" s="249"/>
      <c r="I481" s="250"/>
      <c r="J481" s="74">
        <f t="shared" si="70"/>
        <v>57000</v>
      </c>
      <c r="K481" s="17">
        <f t="shared" si="71"/>
        <v>80200</v>
      </c>
      <c r="L481" s="57"/>
      <c r="M481" s="11"/>
      <c r="N481" s="11"/>
      <c r="O481" s="11"/>
      <c r="P481" s="11"/>
      <c r="Q481" s="11"/>
      <c r="R481" s="11"/>
      <c r="S481" s="8"/>
      <c r="T481" s="8"/>
      <c r="U481" s="8"/>
      <c r="V481" s="8"/>
      <c r="W481" s="8"/>
      <c r="X481" s="8"/>
      <c r="Y481" s="8"/>
      <c r="Z481" s="8"/>
      <c r="AA481" s="8"/>
      <c r="AB481" s="8"/>
      <c r="AC481" s="8"/>
      <c r="AD481" s="8"/>
      <c r="AE481" s="8"/>
      <c r="AF481" s="8"/>
      <c r="AG481" s="8"/>
      <c r="AH481" s="8"/>
      <c r="AI481" s="8"/>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c r="BP481" s="9"/>
      <c r="BQ481" s="9"/>
      <c r="BR481" s="9"/>
      <c r="BS481" s="9"/>
      <c r="BT481" s="9"/>
      <c r="BU481" s="9"/>
      <c r="BV481" s="9"/>
      <c r="BW481" s="9"/>
      <c r="BX481" s="9"/>
      <c r="BY481" s="9"/>
      <c r="BZ481" s="9"/>
      <c r="CA481" s="9"/>
      <c r="CB481" s="9"/>
      <c r="CC481" s="9"/>
      <c r="CD481" s="9"/>
      <c r="CE481" s="9"/>
      <c r="CF481" s="9"/>
      <c r="CG481" s="9"/>
      <c r="CH481" s="9"/>
      <c r="CI481" s="9"/>
      <c r="CJ481" s="9"/>
      <c r="CK481" s="9"/>
      <c r="CL481" s="9"/>
      <c r="CM481" s="9"/>
      <c r="CN481" s="9"/>
      <c r="CO481" s="9"/>
      <c r="CP481" s="9"/>
      <c r="CQ481" s="9"/>
      <c r="CR481" s="9"/>
      <c r="CS481" s="9"/>
      <c r="CT481" s="9"/>
      <c r="CU481" s="9"/>
      <c r="CV481" s="9"/>
      <c r="CW481" s="9"/>
      <c r="CX481" s="9"/>
      <c r="CY481" s="9"/>
      <c r="CZ481" s="9"/>
      <c r="DA481" s="9"/>
      <c r="DB481" s="9"/>
      <c r="DC481" s="9"/>
      <c r="DD481" s="9"/>
      <c r="DE481" s="9"/>
      <c r="DF481" s="9"/>
      <c r="DG481" s="9"/>
    </row>
    <row r="482" spans="1:112" s="24" customFormat="1" ht="15.95" customHeight="1" x14ac:dyDescent="0.2">
      <c r="A482" s="127">
        <f>1+A478</f>
        <v>392</v>
      </c>
      <c r="B482" s="112">
        <v>1</v>
      </c>
      <c r="C482" s="116" t="s">
        <v>830</v>
      </c>
      <c r="D482" s="227" t="s">
        <v>831</v>
      </c>
      <c r="E482" s="116" t="s">
        <v>14</v>
      </c>
      <c r="F482" s="118">
        <v>2100000</v>
      </c>
      <c r="G482" s="160"/>
      <c r="H482" s="120">
        <v>2450000</v>
      </c>
      <c r="I482" s="179" t="s">
        <v>40</v>
      </c>
      <c r="J482" s="74">
        <f t="shared" si="70"/>
        <v>80000</v>
      </c>
      <c r="K482" s="17">
        <f t="shared" si="71"/>
        <v>150000</v>
      </c>
      <c r="L482" s="57">
        <f>SUM(L477:L481)</f>
        <v>205500</v>
      </c>
      <c r="M482" s="11"/>
      <c r="N482" s="11"/>
      <c r="O482" s="11"/>
      <c r="P482" s="11"/>
      <c r="Q482" s="11"/>
      <c r="R482" s="11"/>
      <c r="S482" s="8"/>
      <c r="T482" s="8"/>
      <c r="U482" s="8"/>
      <c r="V482" s="8"/>
      <c r="W482" s="8"/>
      <c r="X482" s="8"/>
      <c r="Y482" s="8"/>
      <c r="Z482" s="8"/>
      <c r="AA482" s="8"/>
      <c r="AB482" s="8"/>
      <c r="AC482" s="8"/>
      <c r="AD482" s="8"/>
      <c r="AE482" s="8"/>
      <c r="AF482" s="8"/>
      <c r="AG482" s="8"/>
      <c r="AH482" s="8"/>
      <c r="AI482" s="8"/>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c r="BP482" s="9"/>
      <c r="BQ482" s="9"/>
      <c r="BR482" s="9"/>
      <c r="BS482" s="9"/>
      <c r="BT482" s="9"/>
      <c r="BU482" s="9"/>
      <c r="BV482" s="9"/>
      <c r="BW482" s="9"/>
      <c r="BX482" s="9"/>
      <c r="BY482" s="9"/>
      <c r="BZ482" s="9"/>
      <c r="CA482" s="9"/>
      <c r="CB482" s="9"/>
      <c r="CC482" s="9"/>
      <c r="CD482" s="9"/>
      <c r="CE482" s="9"/>
      <c r="CF482" s="9"/>
      <c r="CG482" s="9"/>
      <c r="CH482" s="9"/>
      <c r="CI482" s="9"/>
      <c r="CJ482" s="9"/>
      <c r="CK482" s="9"/>
      <c r="CL482" s="9"/>
      <c r="CM482" s="9"/>
      <c r="CN482" s="9"/>
      <c r="CO482" s="9"/>
      <c r="CP482" s="9"/>
      <c r="CQ482" s="9"/>
      <c r="CR482" s="9"/>
      <c r="CS482" s="9"/>
      <c r="CT482" s="9"/>
      <c r="CU482" s="9"/>
      <c r="CV482" s="9"/>
      <c r="CW482" s="9"/>
      <c r="CX482" s="9"/>
      <c r="CY482" s="9"/>
      <c r="CZ482" s="9"/>
      <c r="DA482" s="9"/>
      <c r="DB482" s="9"/>
      <c r="DC482" s="9"/>
      <c r="DD482" s="9"/>
      <c r="DE482" s="9"/>
      <c r="DF482" s="9"/>
      <c r="DG482" s="9"/>
    </row>
    <row r="483" spans="1:112" s="24" customFormat="1" ht="15.95" customHeight="1" x14ac:dyDescent="0.2">
      <c r="A483" s="127">
        <f>+A482+1</f>
        <v>393</v>
      </c>
      <c r="B483" s="112">
        <f t="shared" ref="B483:B501" si="72">+B482+1</f>
        <v>2</v>
      </c>
      <c r="C483" s="116" t="s">
        <v>832</v>
      </c>
      <c r="D483" s="227" t="s">
        <v>833</v>
      </c>
      <c r="E483" s="116" t="s">
        <v>14</v>
      </c>
      <c r="F483" s="118">
        <v>57000</v>
      </c>
      <c r="G483" s="160"/>
      <c r="H483" s="120">
        <v>80200</v>
      </c>
      <c r="I483" s="179" t="s">
        <v>40</v>
      </c>
      <c r="J483" s="74">
        <f t="shared" si="70"/>
        <v>1813560</v>
      </c>
      <c r="K483" s="17">
        <f t="shared" si="71"/>
        <v>0</v>
      </c>
      <c r="L483" s="57"/>
      <c r="M483" s="11"/>
      <c r="N483" s="11"/>
      <c r="O483" s="11"/>
      <c r="P483" s="11"/>
      <c r="Q483" s="11"/>
      <c r="R483" s="11"/>
      <c r="S483" s="8"/>
      <c r="T483" s="8"/>
      <c r="U483" s="8"/>
      <c r="V483" s="8"/>
      <c r="W483" s="8"/>
      <c r="X483" s="8"/>
      <c r="Y483" s="8"/>
      <c r="Z483" s="8"/>
      <c r="AA483" s="8"/>
      <c r="AB483" s="8"/>
      <c r="AC483" s="8"/>
      <c r="AD483" s="8"/>
      <c r="AE483" s="8"/>
      <c r="AF483" s="8"/>
      <c r="AG483" s="8"/>
      <c r="AH483" s="8"/>
      <c r="AI483" s="8"/>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c r="BP483" s="9"/>
      <c r="BQ483" s="9"/>
      <c r="BR483" s="9"/>
      <c r="BS483" s="9"/>
      <c r="BT483" s="9"/>
      <c r="BU483" s="9"/>
      <c r="BV483" s="9"/>
      <c r="BW483" s="9"/>
      <c r="BX483" s="9"/>
      <c r="BY483" s="9"/>
      <c r="BZ483" s="9"/>
      <c r="CA483" s="9"/>
      <c r="CB483" s="9"/>
      <c r="CC483" s="9"/>
      <c r="CD483" s="9"/>
      <c r="CE483" s="9"/>
      <c r="CF483" s="9"/>
      <c r="CG483" s="9"/>
      <c r="CH483" s="9"/>
      <c r="CI483" s="9"/>
      <c r="CJ483" s="9"/>
      <c r="CK483" s="9"/>
      <c r="CL483" s="9"/>
      <c r="CM483" s="9"/>
      <c r="CN483" s="9"/>
      <c r="CO483" s="9"/>
      <c r="CP483" s="9"/>
      <c r="CQ483" s="9"/>
      <c r="CR483" s="9"/>
      <c r="CS483" s="9"/>
      <c r="CT483" s="9"/>
      <c r="CU483" s="9"/>
      <c r="CV483" s="9"/>
      <c r="CW483" s="9"/>
      <c r="CX483" s="9"/>
      <c r="CY483" s="9"/>
      <c r="CZ483" s="9"/>
      <c r="DA483" s="9"/>
      <c r="DB483" s="9"/>
      <c r="DC483" s="9"/>
      <c r="DD483" s="9"/>
      <c r="DE483" s="9"/>
      <c r="DF483" s="9"/>
      <c r="DG483" s="9"/>
    </row>
    <row r="484" spans="1:112" s="24" customFormat="1" ht="15.95" customHeight="1" x14ac:dyDescent="0.2">
      <c r="A484" s="127">
        <f t="shared" ref="A484:A502" si="73">+A483+1</f>
        <v>394</v>
      </c>
      <c r="B484" s="112">
        <f t="shared" si="72"/>
        <v>3</v>
      </c>
      <c r="C484" s="116" t="s">
        <v>834</v>
      </c>
      <c r="D484" s="227" t="s">
        <v>835</v>
      </c>
      <c r="E484" s="116" t="s">
        <v>14</v>
      </c>
      <c r="F484" s="118">
        <v>80000</v>
      </c>
      <c r="G484" s="160"/>
      <c r="H484" s="120">
        <v>150000</v>
      </c>
      <c r="I484" s="179" t="s">
        <v>40</v>
      </c>
      <c r="J484" s="74">
        <f t="shared" si="70"/>
        <v>1000020</v>
      </c>
      <c r="K484" s="17">
        <f t="shared" si="71"/>
        <v>0</v>
      </c>
      <c r="L484" s="11"/>
      <c r="M484" s="11"/>
      <c r="N484" s="11"/>
      <c r="O484" s="11"/>
      <c r="P484" s="11"/>
      <c r="Q484" s="11"/>
      <c r="R484" s="11"/>
      <c r="S484" s="8"/>
      <c r="T484" s="8"/>
      <c r="U484" s="8"/>
      <c r="V484" s="8"/>
      <c r="W484" s="8"/>
      <c r="X484" s="8"/>
      <c r="Y484" s="8"/>
      <c r="Z484" s="8"/>
      <c r="AA484" s="8"/>
      <c r="AB484" s="8"/>
      <c r="AC484" s="8"/>
      <c r="AD484" s="8"/>
      <c r="AE484" s="8"/>
      <c r="AF484" s="8"/>
      <c r="AG484" s="8"/>
      <c r="AH484" s="8"/>
      <c r="AI484" s="8"/>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c r="BP484" s="9"/>
      <c r="BQ484" s="9"/>
      <c r="BR484" s="9"/>
      <c r="BS484" s="9"/>
      <c r="BT484" s="9"/>
      <c r="BU484" s="9"/>
      <c r="BV484" s="9"/>
      <c r="BW484" s="9"/>
      <c r="BX484" s="9"/>
      <c r="BY484" s="9"/>
      <c r="BZ484" s="9"/>
      <c r="CA484" s="9"/>
      <c r="CB484" s="9"/>
      <c r="CC484" s="9"/>
      <c r="CD484" s="9"/>
      <c r="CE484" s="9"/>
      <c r="CF484" s="9"/>
      <c r="CG484" s="9"/>
      <c r="CH484" s="9"/>
      <c r="CI484" s="9"/>
      <c r="CJ484" s="9"/>
      <c r="CK484" s="9"/>
      <c r="CL484" s="9"/>
      <c r="CM484" s="9"/>
      <c r="CN484" s="9"/>
      <c r="CO484" s="9"/>
      <c r="CP484" s="9"/>
      <c r="CQ484" s="9"/>
      <c r="CR484" s="9"/>
      <c r="CS484" s="9"/>
      <c r="CT484" s="9"/>
      <c r="CU484" s="9"/>
      <c r="CV484" s="9"/>
      <c r="CW484" s="9"/>
      <c r="CX484" s="9"/>
      <c r="CY484" s="9"/>
      <c r="CZ484" s="9"/>
      <c r="DA484" s="9"/>
      <c r="DB484" s="9"/>
      <c r="DC484" s="9"/>
      <c r="DD484" s="9"/>
      <c r="DE484" s="9"/>
      <c r="DF484" s="9"/>
      <c r="DG484" s="9"/>
    </row>
    <row r="485" spans="1:112" s="24" customFormat="1" ht="15.95" customHeight="1" x14ac:dyDescent="0.2">
      <c r="A485" s="127">
        <f t="shared" si="73"/>
        <v>395</v>
      </c>
      <c r="B485" s="112">
        <f t="shared" si="72"/>
        <v>4</v>
      </c>
      <c r="C485" s="116" t="s">
        <v>836</v>
      </c>
      <c r="D485" s="227" t="s">
        <v>837</v>
      </c>
      <c r="E485" s="116" t="s">
        <v>337</v>
      </c>
      <c r="F485" s="118">
        <f>1582420+231140</f>
        <v>1813560</v>
      </c>
      <c r="G485" s="160"/>
      <c r="H485" s="120"/>
      <c r="I485" s="179"/>
      <c r="J485" s="74">
        <f t="shared" si="70"/>
        <v>1000000</v>
      </c>
      <c r="K485" s="17">
        <f t="shared" si="71"/>
        <v>3000000</v>
      </c>
      <c r="L485" s="11"/>
      <c r="M485" s="11"/>
      <c r="N485" s="11"/>
      <c r="O485" s="11"/>
      <c r="P485" s="11"/>
      <c r="Q485" s="11"/>
      <c r="R485" s="11"/>
      <c r="S485" s="8"/>
      <c r="T485" s="8"/>
      <c r="U485" s="8"/>
      <c r="V485" s="8"/>
      <c r="W485" s="8"/>
      <c r="X485" s="8"/>
      <c r="Y485" s="8"/>
      <c r="Z485" s="8"/>
      <c r="AA485" s="8"/>
      <c r="AB485" s="8"/>
      <c r="AC485" s="8"/>
      <c r="AD485" s="8"/>
      <c r="AE485" s="8"/>
      <c r="AF485" s="8"/>
      <c r="AG485" s="8"/>
      <c r="AH485" s="8"/>
      <c r="AI485" s="8"/>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c r="CC485" s="9"/>
      <c r="CD485" s="9"/>
      <c r="CE485" s="9"/>
      <c r="CF485" s="9"/>
      <c r="CG485" s="9"/>
      <c r="CH485" s="9"/>
      <c r="CI485" s="9"/>
      <c r="CJ485" s="9"/>
      <c r="CK485" s="9"/>
      <c r="CL485" s="9"/>
      <c r="CM485" s="9"/>
      <c r="CN485" s="9"/>
      <c r="CO485" s="9"/>
      <c r="CP485" s="9"/>
      <c r="CQ485" s="9"/>
      <c r="CR485" s="9"/>
      <c r="CS485" s="9"/>
      <c r="CT485" s="9"/>
      <c r="CU485" s="9"/>
      <c r="CV485" s="9"/>
      <c r="CW485" s="9"/>
      <c r="CX485" s="9"/>
      <c r="CY485" s="9"/>
      <c r="CZ485" s="9"/>
      <c r="DA485" s="9"/>
      <c r="DB485" s="9"/>
      <c r="DC485" s="9"/>
      <c r="DD485" s="9"/>
      <c r="DE485" s="9"/>
      <c r="DF485" s="9"/>
      <c r="DG485" s="9"/>
    </row>
    <row r="486" spans="1:112" s="31" customFormat="1" ht="15.95" customHeight="1" x14ac:dyDescent="0.2">
      <c r="A486" s="127">
        <f t="shared" si="73"/>
        <v>396</v>
      </c>
      <c r="B486" s="112">
        <f t="shared" si="72"/>
        <v>5</v>
      </c>
      <c r="C486" s="116" t="s">
        <v>838</v>
      </c>
      <c r="D486" s="227" t="s">
        <v>839</v>
      </c>
      <c r="E486" s="116" t="s">
        <v>14</v>
      </c>
      <c r="F486" s="118">
        <v>1000020</v>
      </c>
      <c r="G486" s="160"/>
      <c r="H486" s="120"/>
      <c r="I486" s="179"/>
      <c r="J486" s="74">
        <f t="shared" si="70"/>
        <v>500000.1</v>
      </c>
      <c r="K486" s="17">
        <f t="shared" si="71"/>
        <v>2000000</v>
      </c>
      <c r="L486" s="11"/>
      <c r="M486" s="11"/>
      <c r="N486" s="11"/>
      <c r="O486" s="11"/>
      <c r="P486" s="11"/>
      <c r="Q486" s="11"/>
      <c r="R486" s="11"/>
      <c r="S486" s="8"/>
      <c r="T486" s="8"/>
      <c r="U486" s="8"/>
      <c r="V486" s="8"/>
      <c r="W486" s="8"/>
      <c r="X486" s="8"/>
      <c r="Y486" s="8"/>
      <c r="Z486" s="8"/>
      <c r="AA486" s="8"/>
      <c r="AB486" s="8"/>
      <c r="AC486" s="8"/>
      <c r="AD486" s="8"/>
      <c r="AE486" s="8"/>
      <c r="AF486" s="8"/>
      <c r="AG486" s="8"/>
      <c r="AH486" s="8"/>
      <c r="AI486" s="8"/>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c r="BH486" s="9"/>
      <c r="BI486" s="9"/>
      <c r="BJ486" s="9"/>
      <c r="BK486" s="9"/>
      <c r="BL486" s="9"/>
      <c r="BM486" s="9"/>
      <c r="BN486" s="9"/>
      <c r="BO486" s="9"/>
      <c r="BP486" s="9"/>
      <c r="BQ486" s="9"/>
      <c r="BR486" s="9"/>
      <c r="BS486" s="9"/>
      <c r="BT486" s="9"/>
      <c r="BU486" s="9"/>
      <c r="BV486" s="9"/>
      <c r="BW486" s="9"/>
      <c r="BX486" s="9"/>
      <c r="BY486" s="9"/>
      <c r="BZ486" s="9"/>
      <c r="CA486" s="9"/>
      <c r="CB486" s="9"/>
      <c r="CC486" s="9"/>
      <c r="CD486" s="9"/>
      <c r="CE486" s="9"/>
      <c r="CF486" s="9"/>
      <c r="CG486" s="9"/>
      <c r="CH486" s="9"/>
      <c r="CI486" s="9"/>
      <c r="CJ486" s="9"/>
      <c r="CK486" s="9"/>
      <c r="CL486" s="9"/>
      <c r="CM486" s="9"/>
      <c r="CN486" s="9"/>
      <c r="CO486" s="9"/>
      <c r="CP486" s="9"/>
      <c r="CQ486" s="9"/>
      <c r="CR486" s="9"/>
      <c r="CS486" s="9"/>
      <c r="CT486" s="9"/>
      <c r="CU486" s="9"/>
      <c r="CV486" s="9"/>
      <c r="CW486" s="9"/>
      <c r="CX486" s="9"/>
      <c r="CY486" s="9"/>
      <c r="CZ486" s="9"/>
      <c r="DA486" s="9"/>
      <c r="DB486" s="9"/>
      <c r="DC486" s="9"/>
      <c r="DD486" s="9"/>
      <c r="DE486" s="9"/>
      <c r="DF486" s="9"/>
      <c r="DG486" s="9"/>
    </row>
    <row r="487" spans="1:112" ht="15.95" customHeight="1" x14ac:dyDescent="0.2">
      <c r="A487" s="127">
        <f t="shared" si="73"/>
        <v>397</v>
      </c>
      <c r="B487" s="112">
        <f t="shared" si="72"/>
        <v>6</v>
      </c>
      <c r="C487" s="116" t="s">
        <v>840</v>
      </c>
      <c r="D487" s="227" t="s">
        <v>841</v>
      </c>
      <c r="E487" s="116" t="s">
        <v>14</v>
      </c>
      <c r="F487" s="118">
        <v>1000000</v>
      </c>
      <c r="G487" s="160"/>
      <c r="H487" s="120">
        <v>3000000</v>
      </c>
      <c r="I487" s="179" t="s">
        <v>40</v>
      </c>
      <c r="J487" s="74">
        <f t="shared" si="70"/>
        <v>20000</v>
      </c>
      <c r="K487" s="17">
        <f t="shared" si="71"/>
        <v>0</v>
      </c>
    </row>
    <row r="488" spans="1:112" s="30" customFormat="1" ht="15.95" customHeight="1" x14ac:dyDescent="0.2">
      <c r="A488" s="127">
        <f t="shared" si="73"/>
        <v>398</v>
      </c>
      <c r="B488" s="112">
        <f t="shared" si="72"/>
        <v>7</v>
      </c>
      <c r="C488" s="116" t="s">
        <v>842</v>
      </c>
      <c r="D488" s="227" t="s">
        <v>843</v>
      </c>
      <c r="E488" s="116" t="s">
        <v>14</v>
      </c>
      <c r="F488" s="118">
        <f>1000000.2/2</f>
        <v>500000.1</v>
      </c>
      <c r="G488" s="160"/>
      <c r="H488" s="120">
        <v>2000000</v>
      </c>
      <c r="I488" s="179" t="s">
        <v>40</v>
      </c>
      <c r="J488" s="74">
        <f t="shared" si="70"/>
        <v>14000</v>
      </c>
      <c r="K488" s="17">
        <f t="shared" si="71"/>
        <v>0</v>
      </c>
      <c r="L488" s="11"/>
      <c r="M488" s="11"/>
      <c r="N488" s="11"/>
      <c r="O488" s="11"/>
      <c r="P488" s="11"/>
      <c r="Q488" s="11"/>
      <c r="R488" s="11"/>
      <c r="S488" s="8"/>
      <c r="T488" s="8"/>
      <c r="U488" s="8"/>
      <c r="V488" s="8"/>
      <c r="W488" s="8"/>
      <c r="X488" s="8"/>
      <c r="Y488" s="8"/>
      <c r="Z488" s="8"/>
      <c r="AA488" s="8"/>
      <c r="AB488" s="8"/>
      <c r="AC488" s="8"/>
      <c r="AD488" s="8"/>
      <c r="AE488" s="8"/>
      <c r="AF488" s="8"/>
      <c r="AG488" s="8"/>
      <c r="AH488" s="8"/>
      <c r="AI488" s="8"/>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c r="BH488" s="9"/>
      <c r="BI488" s="9"/>
      <c r="BJ488" s="9"/>
      <c r="BK488" s="9"/>
      <c r="BL488" s="9"/>
      <c r="BM488" s="9"/>
      <c r="BN488" s="9"/>
      <c r="BO488" s="9"/>
      <c r="BP488" s="9"/>
      <c r="BQ488" s="9"/>
      <c r="BR488" s="9"/>
      <c r="BS488" s="9"/>
      <c r="BT488" s="9"/>
      <c r="BU488" s="9"/>
      <c r="BV488" s="9"/>
      <c r="BW488" s="9"/>
      <c r="BX488" s="9"/>
      <c r="BY488" s="9"/>
      <c r="BZ488" s="9"/>
      <c r="CA488" s="9"/>
      <c r="CB488" s="9"/>
      <c r="CC488" s="9"/>
      <c r="CD488" s="9"/>
      <c r="CE488" s="9"/>
      <c r="CF488" s="9"/>
      <c r="CG488" s="9"/>
      <c r="CH488" s="9"/>
      <c r="CI488" s="9"/>
      <c r="CJ488" s="9"/>
      <c r="CK488" s="9"/>
      <c r="CL488" s="9"/>
      <c r="CM488" s="9"/>
      <c r="CN488" s="9"/>
      <c r="CO488" s="9"/>
      <c r="CP488" s="9"/>
      <c r="CQ488" s="9"/>
      <c r="CR488" s="9"/>
      <c r="CS488" s="9"/>
      <c r="CT488" s="9"/>
      <c r="CU488" s="9"/>
      <c r="CV488" s="9"/>
      <c r="CW488" s="9"/>
      <c r="CX488" s="9"/>
      <c r="CY488" s="9"/>
      <c r="CZ488" s="9"/>
      <c r="DA488" s="9"/>
      <c r="DB488" s="9"/>
      <c r="DC488" s="9"/>
      <c r="DD488" s="9"/>
      <c r="DE488" s="9"/>
      <c r="DF488" s="9"/>
      <c r="DG488" s="9"/>
      <c r="DH488" s="75"/>
    </row>
    <row r="489" spans="1:112" s="32" customFormat="1" ht="15.95" customHeight="1" x14ac:dyDescent="0.2">
      <c r="A489" s="127">
        <f t="shared" si="73"/>
        <v>399</v>
      </c>
      <c r="B489" s="112">
        <f t="shared" si="72"/>
        <v>8</v>
      </c>
      <c r="C489" s="116" t="s">
        <v>844</v>
      </c>
      <c r="D489" s="227" t="s">
        <v>845</v>
      </c>
      <c r="E489" s="116" t="s">
        <v>14</v>
      </c>
      <c r="F489" s="118">
        <v>20000</v>
      </c>
      <c r="G489" s="160"/>
      <c r="H489" s="120"/>
      <c r="I489" s="179"/>
      <c r="J489" s="74">
        <f t="shared" si="70"/>
        <v>14000</v>
      </c>
      <c r="K489" s="17">
        <f t="shared" si="71"/>
        <v>0</v>
      </c>
      <c r="L489" s="11"/>
      <c r="M489" s="11"/>
      <c r="N489" s="11"/>
      <c r="O489" s="11"/>
      <c r="P489" s="11"/>
      <c r="Q489" s="11"/>
      <c r="R489" s="11"/>
      <c r="S489" s="8"/>
      <c r="T489" s="8"/>
      <c r="U489" s="8"/>
      <c r="V489" s="8"/>
      <c r="W489" s="8"/>
      <c r="X489" s="8"/>
      <c r="Y489" s="8"/>
      <c r="Z489" s="8"/>
      <c r="AA489" s="8"/>
      <c r="AB489" s="8"/>
      <c r="AC489" s="8"/>
      <c r="AD489" s="8"/>
      <c r="AE489" s="8"/>
      <c r="AF489" s="8"/>
      <c r="AG489" s="8"/>
      <c r="AH489" s="8"/>
      <c r="AI489" s="8"/>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c r="BH489" s="9"/>
      <c r="BI489" s="9"/>
      <c r="BJ489" s="9"/>
      <c r="BK489" s="9"/>
      <c r="BL489" s="9"/>
      <c r="BM489" s="9"/>
      <c r="BN489" s="9"/>
      <c r="BO489" s="9"/>
      <c r="BP489" s="9"/>
      <c r="BQ489" s="9"/>
      <c r="BR489" s="9"/>
      <c r="BS489" s="9"/>
      <c r="BT489" s="9"/>
      <c r="BU489" s="9"/>
      <c r="BV489" s="9"/>
      <c r="BW489" s="9"/>
      <c r="BX489" s="9"/>
      <c r="BY489" s="9"/>
      <c r="BZ489" s="9"/>
      <c r="CA489" s="9"/>
      <c r="CB489" s="9"/>
      <c r="CC489" s="9"/>
      <c r="CD489" s="9"/>
      <c r="CE489" s="9"/>
      <c r="CF489" s="9"/>
      <c r="CG489" s="9"/>
      <c r="CH489" s="9"/>
      <c r="CI489" s="9"/>
      <c r="CJ489" s="9"/>
      <c r="CK489" s="9"/>
      <c r="CL489" s="9"/>
      <c r="CM489" s="9"/>
      <c r="CN489" s="9"/>
      <c r="CO489" s="9"/>
      <c r="CP489" s="9"/>
      <c r="CQ489" s="9"/>
      <c r="CR489" s="9"/>
      <c r="CS489" s="9"/>
      <c r="CT489" s="9"/>
      <c r="CU489" s="9"/>
      <c r="CV489" s="9"/>
      <c r="CW489" s="9"/>
      <c r="CX489" s="9"/>
      <c r="CY489" s="9"/>
      <c r="CZ489" s="9"/>
      <c r="DA489" s="9"/>
      <c r="DB489" s="9"/>
      <c r="DC489" s="9"/>
      <c r="DD489" s="9"/>
      <c r="DE489" s="9"/>
      <c r="DF489" s="9"/>
      <c r="DG489" s="9"/>
      <c r="DH489" s="76"/>
    </row>
    <row r="490" spans="1:112" s="30" customFormat="1" ht="15.95" customHeight="1" x14ac:dyDescent="0.2">
      <c r="A490" s="127">
        <f t="shared" si="73"/>
        <v>400</v>
      </c>
      <c r="B490" s="112">
        <f t="shared" si="72"/>
        <v>9</v>
      </c>
      <c r="C490" s="116" t="s">
        <v>844</v>
      </c>
      <c r="D490" s="227" t="s">
        <v>846</v>
      </c>
      <c r="E490" s="116" t="s">
        <v>14</v>
      </c>
      <c r="F490" s="118">
        <v>14000</v>
      </c>
      <c r="G490" s="160"/>
      <c r="H490" s="120"/>
      <c r="I490" s="179"/>
      <c r="J490" s="74">
        <f t="shared" si="70"/>
        <v>10000</v>
      </c>
      <c r="K490" s="17">
        <f t="shared" si="71"/>
        <v>0</v>
      </c>
      <c r="L490" s="11"/>
      <c r="M490" s="11"/>
      <c r="N490" s="11"/>
      <c r="O490" s="11"/>
      <c r="P490" s="11"/>
      <c r="Q490" s="11"/>
      <c r="R490" s="11"/>
      <c r="S490" s="8"/>
      <c r="T490" s="8"/>
      <c r="U490" s="8"/>
      <c r="V490" s="8"/>
      <c r="W490" s="8"/>
      <c r="X490" s="8"/>
      <c r="Y490" s="8"/>
      <c r="Z490" s="8"/>
      <c r="AA490" s="8"/>
      <c r="AB490" s="8"/>
      <c r="AC490" s="8"/>
      <c r="AD490" s="8"/>
      <c r="AE490" s="8"/>
      <c r="AF490" s="8"/>
      <c r="AG490" s="8"/>
      <c r="AH490" s="8"/>
      <c r="AI490" s="8"/>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c r="BI490" s="9"/>
      <c r="BJ490" s="9"/>
      <c r="BK490" s="9"/>
      <c r="BL490" s="9"/>
      <c r="BM490" s="9"/>
      <c r="BN490" s="9"/>
      <c r="BO490" s="9"/>
      <c r="BP490" s="9"/>
      <c r="BQ490" s="9"/>
      <c r="BR490" s="9"/>
      <c r="BS490" s="9"/>
      <c r="BT490" s="9"/>
      <c r="BU490" s="9"/>
      <c r="BV490" s="9"/>
      <c r="BW490" s="9"/>
      <c r="BX490" s="9"/>
      <c r="BY490" s="9"/>
      <c r="BZ490" s="9"/>
      <c r="CA490" s="9"/>
      <c r="CB490" s="9"/>
      <c r="CC490" s="9"/>
      <c r="CD490" s="9"/>
      <c r="CE490" s="9"/>
      <c r="CF490" s="9"/>
      <c r="CG490" s="9"/>
      <c r="CH490" s="9"/>
      <c r="CI490" s="9"/>
      <c r="CJ490" s="9"/>
      <c r="CK490" s="9"/>
      <c r="CL490" s="9"/>
      <c r="CM490" s="9"/>
      <c r="CN490" s="9"/>
      <c r="CO490" s="9"/>
      <c r="CP490" s="9"/>
      <c r="CQ490" s="9"/>
      <c r="CR490" s="9"/>
      <c r="CS490" s="9"/>
      <c r="CT490" s="9"/>
      <c r="CU490" s="9"/>
      <c r="CV490" s="9"/>
      <c r="CW490" s="9"/>
      <c r="CX490" s="9"/>
      <c r="CY490" s="9"/>
      <c r="CZ490" s="9"/>
      <c r="DA490" s="9"/>
      <c r="DB490" s="9"/>
      <c r="DC490" s="9"/>
      <c r="DD490" s="9"/>
      <c r="DE490" s="9"/>
      <c r="DF490" s="9"/>
      <c r="DG490" s="9"/>
      <c r="DH490" s="75"/>
    </row>
    <row r="491" spans="1:112" s="30" customFormat="1" ht="15.95" customHeight="1" x14ac:dyDescent="0.2">
      <c r="A491" s="127">
        <f t="shared" si="73"/>
        <v>401</v>
      </c>
      <c r="B491" s="112">
        <f t="shared" si="72"/>
        <v>10</v>
      </c>
      <c r="C491" s="116" t="s">
        <v>844</v>
      </c>
      <c r="D491" s="227" t="s">
        <v>847</v>
      </c>
      <c r="E491" s="116" t="s">
        <v>14</v>
      </c>
      <c r="F491" s="118">
        <f>14000</f>
        <v>14000</v>
      </c>
      <c r="G491" s="160"/>
      <c r="H491" s="120"/>
      <c r="I491" s="179"/>
      <c r="J491" s="74">
        <f t="shared" si="70"/>
        <v>76000</v>
      </c>
      <c r="K491" s="17">
        <f t="shared" si="71"/>
        <v>0</v>
      </c>
      <c r="L491" s="11"/>
      <c r="M491" s="11"/>
      <c r="N491" s="11"/>
      <c r="O491" s="11"/>
      <c r="P491" s="11"/>
      <c r="Q491" s="11"/>
      <c r="R491" s="11"/>
      <c r="S491" s="8"/>
      <c r="T491" s="8"/>
      <c r="U491" s="8"/>
      <c r="V491" s="8"/>
      <c r="W491" s="8"/>
      <c r="X491" s="8"/>
      <c r="Y491" s="8"/>
      <c r="Z491" s="8"/>
      <c r="AA491" s="8"/>
      <c r="AB491" s="8"/>
      <c r="AC491" s="8"/>
      <c r="AD491" s="8"/>
      <c r="AE491" s="8"/>
      <c r="AF491" s="8"/>
      <c r="AG491" s="8"/>
      <c r="AH491" s="8"/>
      <c r="AI491" s="8"/>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c r="BH491" s="9"/>
      <c r="BI491" s="9"/>
      <c r="BJ491" s="9"/>
      <c r="BK491" s="9"/>
      <c r="BL491" s="9"/>
      <c r="BM491" s="9"/>
      <c r="BN491" s="9"/>
      <c r="BO491" s="9"/>
      <c r="BP491" s="9"/>
      <c r="BQ491" s="9"/>
      <c r="BR491" s="9"/>
      <c r="BS491" s="9"/>
      <c r="BT491" s="9"/>
      <c r="BU491" s="9"/>
      <c r="BV491" s="9"/>
      <c r="BW491" s="9"/>
      <c r="BX491" s="9"/>
      <c r="BY491" s="9"/>
      <c r="BZ491" s="9"/>
      <c r="CA491" s="9"/>
      <c r="CB491" s="9"/>
      <c r="CC491" s="9"/>
      <c r="CD491" s="9"/>
      <c r="CE491" s="9"/>
      <c r="CF491" s="9"/>
      <c r="CG491" s="9"/>
      <c r="CH491" s="9"/>
      <c r="CI491" s="9"/>
      <c r="CJ491" s="9"/>
      <c r="CK491" s="9"/>
      <c r="CL491" s="9"/>
      <c r="CM491" s="9"/>
      <c r="CN491" s="9"/>
      <c r="CO491" s="9"/>
      <c r="CP491" s="9"/>
      <c r="CQ491" s="9"/>
      <c r="CR491" s="9"/>
      <c r="CS491" s="9"/>
      <c r="CT491" s="9"/>
      <c r="CU491" s="9"/>
      <c r="CV491" s="9"/>
      <c r="CW491" s="9"/>
      <c r="CX491" s="9"/>
      <c r="CY491" s="9"/>
      <c r="CZ491" s="9"/>
      <c r="DA491" s="9"/>
      <c r="DB491" s="9"/>
      <c r="DC491" s="9"/>
      <c r="DD491" s="9"/>
      <c r="DE491" s="9"/>
      <c r="DF491" s="9"/>
      <c r="DG491" s="9"/>
      <c r="DH491" s="75"/>
    </row>
    <row r="492" spans="1:112" s="30" customFormat="1" ht="15.95" customHeight="1" x14ac:dyDescent="0.2">
      <c r="A492" s="127">
        <f t="shared" si="73"/>
        <v>402</v>
      </c>
      <c r="B492" s="112">
        <f t="shared" si="72"/>
        <v>11</v>
      </c>
      <c r="C492" s="116" t="s">
        <v>844</v>
      </c>
      <c r="D492" s="227" t="s">
        <v>848</v>
      </c>
      <c r="E492" s="116" t="s">
        <v>14</v>
      </c>
      <c r="F492" s="118">
        <f>10000</f>
        <v>10000</v>
      </c>
      <c r="G492" s="160"/>
      <c r="H492" s="120"/>
      <c r="I492" s="179"/>
      <c r="J492" s="74">
        <f t="shared" si="70"/>
        <v>25000</v>
      </c>
      <c r="K492" s="17">
        <f t="shared" si="71"/>
        <v>0</v>
      </c>
      <c r="L492" s="11"/>
      <c r="M492" s="11"/>
      <c r="N492" s="11"/>
      <c r="O492" s="11"/>
      <c r="P492" s="11"/>
      <c r="Q492" s="11"/>
      <c r="R492" s="11"/>
      <c r="S492" s="8"/>
      <c r="T492" s="8"/>
      <c r="U492" s="8"/>
      <c r="V492" s="8"/>
      <c r="W492" s="8"/>
      <c r="X492" s="8"/>
      <c r="Y492" s="8"/>
      <c r="Z492" s="8"/>
      <c r="AA492" s="8"/>
      <c r="AB492" s="8"/>
      <c r="AC492" s="8"/>
      <c r="AD492" s="8"/>
      <c r="AE492" s="8"/>
      <c r="AF492" s="8"/>
      <c r="AG492" s="8"/>
      <c r="AH492" s="8"/>
      <c r="AI492" s="8"/>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c r="BI492" s="9"/>
      <c r="BJ492" s="9"/>
      <c r="BK492" s="9"/>
      <c r="BL492" s="9"/>
      <c r="BM492" s="9"/>
      <c r="BN492" s="9"/>
      <c r="BO492" s="9"/>
      <c r="BP492" s="9"/>
      <c r="BQ492" s="9"/>
      <c r="BR492" s="9"/>
      <c r="BS492" s="9"/>
      <c r="BT492" s="9"/>
      <c r="BU492" s="9"/>
      <c r="BV492" s="9"/>
      <c r="BW492" s="9"/>
      <c r="BX492" s="9"/>
      <c r="BY492" s="9"/>
      <c r="BZ492" s="9"/>
      <c r="CA492" s="9"/>
      <c r="CB492" s="9"/>
      <c r="CC492" s="9"/>
      <c r="CD492" s="9"/>
      <c r="CE492" s="9"/>
      <c r="CF492" s="9"/>
      <c r="CG492" s="9"/>
      <c r="CH492" s="9"/>
      <c r="CI492" s="9"/>
      <c r="CJ492" s="9"/>
      <c r="CK492" s="9"/>
      <c r="CL492" s="9"/>
      <c r="CM492" s="9"/>
      <c r="CN492" s="9"/>
      <c r="CO492" s="9"/>
      <c r="CP492" s="9"/>
      <c r="CQ492" s="9"/>
      <c r="CR492" s="9"/>
      <c r="CS492" s="9"/>
      <c r="CT492" s="9"/>
      <c r="CU492" s="9"/>
      <c r="CV492" s="9"/>
      <c r="CW492" s="9"/>
      <c r="CX492" s="9"/>
      <c r="CY492" s="9"/>
      <c r="CZ492" s="9"/>
      <c r="DA492" s="9"/>
      <c r="DB492" s="9"/>
      <c r="DC492" s="9"/>
      <c r="DD492" s="9"/>
      <c r="DE492" s="9"/>
      <c r="DF492" s="9"/>
      <c r="DG492" s="9"/>
      <c r="DH492" s="75"/>
    </row>
    <row r="493" spans="1:112" s="30" customFormat="1" ht="15.95" customHeight="1" x14ac:dyDescent="0.2">
      <c r="A493" s="127">
        <f t="shared" si="73"/>
        <v>403</v>
      </c>
      <c r="B493" s="112">
        <f t="shared" si="72"/>
        <v>12</v>
      </c>
      <c r="C493" s="116" t="s">
        <v>849</v>
      </c>
      <c r="D493" s="227" t="s">
        <v>850</v>
      </c>
      <c r="E493" s="116" t="s">
        <v>14</v>
      </c>
      <c r="F493" s="118">
        <f>76000</f>
        <v>76000</v>
      </c>
      <c r="G493" s="160"/>
      <c r="H493" s="120"/>
      <c r="I493" s="179"/>
      <c r="J493" s="74">
        <f t="shared" si="70"/>
        <v>101000</v>
      </c>
      <c r="K493" s="17">
        <f t="shared" si="71"/>
        <v>450000</v>
      </c>
      <c r="L493" s="11"/>
      <c r="M493" s="11"/>
      <c r="N493" s="11"/>
      <c r="O493" s="11"/>
      <c r="P493" s="11"/>
      <c r="Q493" s="11"/>
      <c r="R493" s="11"/>
      <c r="S493" s="8"/>
      <c r="T493" s="8"/>
      <c r="U493" s="8"/>
      <c r="V493" s="8"/>
      <c r="W493" s="8"/>
      <c r="X493" s="8"/>
      <c r="Y493" s="8"/>
      <c r="Z493" s="8"/>
      <c r="AA493" s="8"/>
      <c r="AB493" s="8"/>
      <c r="AC493" s="8"/>
      <c r="AD493" s="8"/>
      <c r="AE493" s="8"/>
      <c r="AF493" s="8"/>
      <c r="AG493" s="8"/>
      <c r="AH493" s="8"/>
      <c r="AI493" s="8"/>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c r="BI493" s="9"/>
      <c r="BJ493" s="9"/>
      <c r="BK493" s="9"/>
      <c r="BL493" s="9"/>
      <c r="BM493" s="9"/>
      <c r="BN493" s="9"/>
      <c r="BO493" s="9"/>
      <c r="BP493" s="9"/>
      <c r="BQ493" s="9"/>
      <c r="BR493" s="9"/>
      <c r="BS493" s="9"/>
      <c r="BT493" s="9"/>
      <c r="BU493" s="9"/>
      <c r="BV493" s="9"/>
      <c r="BW493" s="9"/>
      <c r="BX493" s="9"/>
      <c r="BY493" s="9"/>
      <c r="BZ493" s="9"/>
      <c r="CA493" s="9"/>
      <c r="CB493" s="9"/>
      <c r="CC493" s="9"/>
      <c r="CD493" s="9"/>
      <c r="CE493" s="9"/>
      <c r="CF493" s="9"/>
      <c r="CG493" s="9"/>
      <c r="CH493" s="9"/>
      <c r="CI493" s="9"/>
      <c r="CJ493" s="9"/>
      <c r="CK493" s="9"/>
      <c r="CL493" s="9"/>
      <c r="CM493" s="9"/>
      <c r="CN493" s="9"/>
      <c r="CO493" s="9"/>
      <c r="CP493" s="9"/>
      <c r="CQ493" s="9"/>
      <c r="CR493" s="9"/>
      <c r="CS493" s="9"/>
      <c r="CT493" s="9"/>
      <c r="CU493" s="9"/>
      <c r="CV493" s="9"/>
      <c r="CW493" s="9"/>
      <c r="CX493" s="9"/>
      <c r="CY493" s="9"/>
      <c r="CZ493" s="9"/>
      <c r="DA493" s="9"/>
      <c r="DB493" s="9"/>
      <c r="DC493" s="9"/>
      <c r="DD493" s="9"/>
      <c r="DE493" s="9"/>
      <c r="DF493" s="9"/>
      <c r="DG493" s="9"/>
      <c r="DH493" s="75"/>
    </row>
    <row r="494" spans="1:112" s="42" customFormat="1" ht="15.95" customHeight="1" x14ac:dyDescent="0.2">
      <c r="A494" s="127">
        <f t="shared" si="73"/>
        <v>404</v>
      </c>
      <c r="B494" s="112">
        <f t="shared" si="72"/>
        <v>13</v>
      </c>
      <c r="C494" s="116" t="s">
        <v>849</v>
      </c>
      <c r="D494" s="227" t="s">
        <v>851</v>
      </c>
      <c r="E494" s="116" t="s">
        <v>14</v>
      </c>
      <c r="F494" s="118">
        <f>25000</f>
        <v>25000</v>
      </c>
      <c r="G494" s="160"/>
      <c r="H494" s="120"/>
      <c r="I494" s="179"/>
      <c r="J494" s="74">
        <f t="shared" si="70"/>
        <v>9000</v>
      </c>
      <c r="K494" s="17">
        <f t="shared" si="71"/>
        <v>0</v>
      </c>
      <c r="L494" s="11"/>
      <c r="M494" s="11"/>
      <c r="N494" s="11"/>
      <c r="O494" s="11"/>
      <c r="P494" s="11"/>
      <c r="Q494" s="11"/>
      <c r="R494" s="11"/>
      <c r="S494" s="8"/>
      <c r="T494" s="8"/>
      <c r="U494" s="8"/>
      <c r="V494" s="8"/>
      <c r="W494" s="8"/>
      <c r="X494" s="8"/>
      <c r="Y494" s="8"/>
      <c r="Z494" s="8"/>
      <c r="AA494" s="8"/>
      <c r="AB494" s="8"/>
      <c r="AC494" s="8"/>
      <c r="AD494" s="8"/>
      <c r="AE494" s="8"/>
      <c r="AF494" s="8"/>
      <c r="AG494" s="8"/>
      <c r="AH494" s="8"/>
      <c r="AI494" s="8"/>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c r="BI494" s="9"/>
      <c r="BJ494" s="9"/>
      <c r="BK494" s="9"/>
      <c r="BL494" s="9"/>
      <c r="BM494" s="9"/>
      <c r="BN494" s="9"/>
      <c r="BO494" s="9"/>
      <c r="BP494" s="9"/>
      <c r="BQ494" s="9"/>
      <c r="BR494" s="9"/>
      <c r="BS494" s="9"/>
      <c r="BT494" s="9"/>
      <c r="BU494" s="9"/>
      <c r="BV494" s="9"/>
      <c r="BW494" s="9"/>
      <c r="BX494" s="9"/>
      <c r="BY494" s="9"/>
      <c r="BZ494" s="9"/>
      <c r="CA494" s="9"/>
      <c r="CB494" s="9"/>
      <c r="CC494" s="9"/>
      <c r="CD494" s="9"/>
      <c r="CE494" s="9"/>
      <c r="CF494" s="9"/>
      <c r="CG494" s="9"/>
      <c r="CH494" s="9"/>
      <c r="CI494" s="9"/>
      <c r="CJ494" s="9"/>
      <c r="CK494" s="9"/>
      <c r="CL494" s="9"/>
      <c r="CM494" s="9"/>
      <c r="CN494" s="9"/>
      <c r="CO494" s="9"/>
      <c r="CP494" s="9"/>
      <c r="CQ494" s="9"/>
      <c r="CR494" s="9"/>
      <c r="CS494" s="9"/>
      <c r="CT494" s="9"/>
      <c r="CU494" s="9"/>
      <c r="CV494" s="9"/>
      <c r="CW494" s="9"/>
      <c r="CX494" s="9"/>
      <c r="CY494" s="9"/>
      <c r="CZ494" s="9"/>
      <c r="DA494" s="9"/>
      <c r="DB494" s="9"/>
      <c r="DC494" s="9"/>
      <c r="DD494" s="9"/>
      <c r="DE494" s="9"/>
      <c r="DF494" s="9"/>
      <c r="DG494" s="9"/>
      <c r="DH494" s="22"/>
    </row>
    <row r="495" spans="1:112" s="42" customFormat="1" ht="15.95" customHeight="1" x14ac:dyDescent="0.2">
      <c r="A495" s="127">
        <f t="shared" si="73"/>
        <v>405</v>
      </c>
      <c r="B495" s="112">
        <f t="shared" si="72"/>
        <v>14</v>
      </c>
      <c r="C495" s="116" t="s">
        <v>852</v>
      </c>
      <c r="D495" s="227" t="s">
        <v>853</v>
      </c>
      <c r="E495" s="116" t="s">
        <v>14</v>
      </c>
      <c r="F495" s="118">
        <f>101000</f>
        <v>101000</v>
      </c>
      <c r="G495" s="160"/>
      <c r="H495" s="120">
        <v>450000</v>
      </c>
      <c r="I495" s="179" t="s">
        <v>40</v>
      </c>
      <c r="J495" s="74">
        <f t="shared" si="70"/>
        <v>5501</v>
      </c>
      <c r="K495" s="17">
        <f t="shared" si="71"/>
        <v>0</v>
      </c>
      <c r="L495" s="11"/>
      <c r="M495" s="11"/>
      <c r="N495" s="11"/>
      <c r="O495" s="11"/>
      <c r="P495" s="11"/>
      <c r="Q495" s="11"/>
      <c r="R495" s="11"/>
      <c r="S495" s="8"/>
      <c r="T495" s="8"/>
      <c r="U495" s="8"/>
      <c r="V495" s="8"/>
      <c r="W495" s="8"/>
      <c r="X495" s="8"/>
      <c r="Y495" s="8"/>
      <c r="Z495" s="8"/>
      <c r="AA495" s="8"/>
      <c r="AB495" s="8"/>
      <c r="AC495" s="8"/>
      <c r="AD495" s="8"/>
      <c r="AE495" s="8"/>
      <c r="AF495" s="8"/>
      <c r="AG495" s="8"/>
      <c r="AH495" s="8"/>
      <c r="AI495" s="8"/>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c r="BI495" s="9"/>
      <c r="BJ495" s="9"/>
      <c r="BK495" s="9"/>
      <c r="BL495" s="9"/>
      <c r="BM495" s="9"/>
      <c r="BN495" s="9"/>
      <c r="BO495" s="9"/>
      <c r="BP495" s="9"/>
      <c r="BQ495" s="9"/>
      <c r="BR495" s="9"/>
      <c r="BS495" s="9"/>
      <c r="BT495" s="9"/>
      <c r="BU495" s="9"/>
      <c r="BV495" s="9"/>
      <c r="BW495" s="9"/>
      <c r="BX495" s="9"/>
      <c r="BY495" s="9"/>
      <c r="BZ495" s="9"/>
      <c r="CA495" s="9"/>
      <c r="CB495" s="9"/>
      <c r="CC495" s="9"/>
      <c r="CD495" s="9"/>
      <c r="CE495" s="9"/>
      <c r="CF495" s="9"/>
      <c r="CG495" s="9"/>
      <c r="CH495" s="9"/>
      <c r="CI495" s="9"/>
      <c r="CJ495" s="9"/>
      <c r="CK495" s="9"/>
      <c r="CL495" s="9"/>
      <c r="CM495" s="9"/>
      <c r="CN495" s="9"/>
      <c r="CO495" s="9"/>
      <c r="CP495" s="9"/>
      <c r="CQ495" s="9"/>
      <c r="CR495" s="9"/>
      <c r="CS495" s="9"/>
      <c r="CT495" s="9"/>
      <c r="CU495" s="9"/>
      <c r="CV495" s="9"/>
      <c r="CW495" s="9"/>
      <c r="CX495" s="9"/>
      <c r="CY495" s="9"/>
      <c r="CZ495" s="9"/>
      <c r="DA495" s="9"/>
      <c r="DB495" s="9"/>
      <c r="DC495" s="9"/>
      <c r="DD495" s="9"/>
      <c r="DE495" s="9"/>
      <c r="DF495" s="9"/>
      <c r="DG495" s="9"/>
      <c r="DH495" s="22"/>
    </row>
    <row r="496" spans="1:112" s="42" customFormat="1" ht="15.95" customHeight="1" x14ac:dyDescent="0.2">
      <c r="A496" s="127">
        <f t="shared" si="73"/>
        <v>406</v>
      </c>
      <c r="B496" s="112">
        <f t="shared" si="72"/>
        <v>15</v>
      </c>
      <c r="C496" s="116" t="s">
        <v>849</v>
      </c>
      <c r="D496" s="227" t="s">
        <v>854</v>
      </c>
      <c r="E496" s="116" t="s">
        <v>14</v>
      </c>
      <c r="F496" s="118">
        <f>3000+6000</f>
        <v>9000</v>
      </c>
      <c r="G496" s="160"/>
      <c r="H496" s="120"/>
      <c r="I496" s="179"/>
      <c r="J496" s="74">
        <f t="shared" si="70"/>
        <v>46500</v>
      </c>
      <c r="K496" s="17">
        <f t="shared" si="71"/>
        <v>0</v>
      </c>
      <c r="L496" s="11"/>
      <c r="M496" s="11"/>
      <c r="N496" s="11"/>
      <c r="O496" s="11"/>
      <c r="P496" s="11"/>
      <c r="Q496" s="11"/>
      <c r="R496" s="11"/>
      <c r="S496" s="8"/>
      <c r="T496" s="8"/>
      <c r="U496" s="8"/>
      <c r="V496" s="8"/>
      <c r="W496" s="8"/>
      <c r="X496" s="8"/>
      <c r="Y496" s="8"/>
      <c r="Z496" s="8"/>
      <c r="AA496" s="8"/>
      <c r="AB496" s="8"/>
      <c r="AC496" s="8"/>
      <c r="AD496" s="8"/>
      <c r="AE496" s="8"/>
      <c r="AF496" s="8"/>
      <c r="AG496" s="8"/>
      <c r="AH496" s="8"/>
      <c r="AI496" s="8"/>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c r="BH496" s="9"/>
      <c r="BI496" s="9"/>
      <c r="BJ496" s="9"/>
      <c r="BK496" s="9"/>
      <c r="BL496" s="9"/>
      <c r="BM496" s="9"/>
      <c r="BN496" s="9"/>
      <c r="BO496" s="9"/>
      <c r="BP496" s="9"/>
      <c r="BQ496" s="9"/>
      <c r="BR496" s="9"/>
      <c r="BS496" s="9"/>
      <c r="BT496" s="9"/>
      <c r="BU496" s="9"/>
      <c r="BV496" s="9"/>
      <c r="BW496" s="9"/>
      <c r="BX496" s="9"/>
      <c r="BY496" s="9"/>
      <c r="BZ496" s="9"/>
      <c r="CA496" s="9"/>
      <c r="CB496" s="9"/>
      <c r="CC496" s="9"/>
      <c r="CD496" s="9"/>
      <c r="CE496" s="9"/>
      <c r="CF496" s="9"/>
      <c r="CG496" s="9"/>
      <c r="CH496" s="9"/>
      <c r="CI496" s="9"/>
      <c r="CJ496" s="9"/>
      <c r="CK496" s="9"/>
      <c r="CL496" s="9"/>
      <c r="CM496" s="9"/>
      <c r="CN496" s="9"/>
      <c r="CO496" s="9"/>
      <c r="CP496" s="9"/>
      <c r="CQ496" s="9"/>
      <c r="CR496" s="9"/>
      <c r="CS496" s="9"/>
      <c r="CT496" s="9"/>
      <c r="CU496" s="9"/>
      <c r="CV496" s="9"/>
      <c r="CW496" s="9"/>
      <c r="CX496" s="9"/>
      <c r="CY496" s="9"/>
      <c r="CZ496" s="9"/>
      <c r="DA496" s="9"/>
      <c r="DB496" s="9"/>
      <c r="DC496" s="9"/>
      <c r="DD496" s="9"/>
      <c r="DE496" s="9"/>
      <c r="DF496" s="9"/>
      <c r="DG496" s="9"/>
      <c r="DH496" s="22"/>
    </row>
    <row r="497" spans="1:112" ht="15.95" customHeight="1" x14ac:dyDescent="0.2">
      <c r="A497" s="127">
        <f t="shared" si="73"/>
        <v>407</v>
      </c>
      <c r="B497" s="112">
        <f t="shared" si="72"/>
        <v>16</v>
      </c>
      <c r="C497" s="116" t="s">
        <v>855</v>
      </c>
      <c r="D497" s="227" t="s">
        <v>856</v>
      </c>
      <c r="E497" s="116" t="s">
        <v>14</v>
      </c>
      <c r="F497" s="118">
        <f>55010*0.2/2</f>
        <v>5501</v>
      </c>
      <c r="G497" s="160"/>
      <c r="H497" s="120"/>
      <c r="I497" s="179"/>
      <c r="J497" s="74">
        <f t="shared" si="70"/>
        <v>7000000</v>
      </c>
      <c r="K497" s="17">
        <f t="shared" si="71"/>
        <v>28000000</v>
      </c>
    </row>
    <row r="498" spans="1:112" ht="15.95" customHeight="1" x14ac:dyDescent="0.2">
      <c r="A498" s="127">
        <f t="shared" si="73"/>
        <v>408</v>
      </c>
      <c r="B498" s="112">
        <f t="shared" si="72"/>
        <v>17</v>
      </c>
      <c r="C498" s="116" t="s">
        <v>857</v>
      </c>
      <c r="D498" s="227" t="s">
        <v>858</v>
      </c>
      <c r="E498" s="116" t="s">
        <v>14</v>
      </c>
      <c r="F498" s="118">
        <f>31000+7750*2</f>
        <v>46500</v>
      </c>
      <c r="G498" s="160"/>
      <c r="H498" s="120"/>
      <c r="I498" s="179"/>
      <c r="J498" s="74">
        <f t="shared" si="70"/>
        <v>45226.100000000006</v>
      </c>
      <c r="K498" s="17">
        <f t="shared" si="71"/>
        <v>0</v>
      </c>
    </row>
    <row r="499" spans="1:112" s="32" customFormat="1" ht="15.95" customHeight="1" x14ac:dyDescent="0.2">
      <c r="A499" s="127">
        <f t="shared" si="73"/>
        <v>409</v>
      </c>
      <c r="B499" s="112">
        <f t="shared" si="72"/>
        <v>18</v>
      </c>
      <c r="C499" s="116" t="s">
        <v>859</v>
      </c>
      <c r="D499" s="227" t="s">
        <v>860</v>
      </c>
      <c r="E499" s="116" t="s">
        <v>14</v>
      </c>
      <c r="F499" s="118">
        <v>7000000</v>
      </c>
      <c r="G499" s="160"/>
      <c r="H499" s="120">
        <f>25000000+3000000</f>
        <v>28000000</v>
      </c>
      <c r="I499" s="179" t="s">
        <v>40</v>
      </c>
      <c r="J499" s="74">
        <f t="shared" si="70"/>
        <v>108000</v>
      </c>
      <c r="K499" s="17">
        <f t="shared" si="71"/>
        <v>0</v>
      </c>
      <c r="L499" s="11"/>
      <c r="M499" s="11"/>
      <c r="N499" s="11"/>
      <c r="O499" s="11"/>
      <c r="P499" s="11"/>
      <c r="Q499" s="11"/>
      <c r="R499" s="11"/>
      <c r="S499" s="8"/>
      <c r="T499" s="8"/>
      <c r="U499" s="8"/>
      <c r="V499" s="8"/>
      <c r="W499" s="8"/>
      <c r="X499" s="8"/>
      <c r="Y499" s="8"/>
      <c r="Z499" s="8"/>
      <c r="AA499" s="8"/>
      <c r="AB499" s="8"/>
      <c r="AC499" s="8"/>
      <c r="AD499" s="8"/>
      <c r="AE499" s="8"/>
      <c r="AF499" s="8"/>
      <c r="AG499" s="8"/>
      <c r="AH499" s="8"/>
      <c r="AI499" s="8"/>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c r="BH499" s="9"/>
      <c r="BI499" s="9"/>
      <c r="BJ499" s="9"/>
      <c r="BK499" s="9"/>
      <c r="BL499" s="9"/>
      <c r="BM499" s="9"/>
      <c r="BN499" s="9"/>
      <c r="BO499" s="9"/>
      <c r="BP499" s="9"/>
      <c r="BQ499" s="9"/>
      <c r="BR499" s="9"/>
      <c r="BS499" s="9"/>
      <c r="BT499" s="9"/>
      <c r="BU499" s="9"/>
      <c r="BV499" s="9"/>
      <c r="BW499" s="9"/>
      <c r="BX499" s="9"/>
      <c r="BY499" s="9"/>
      <c r="BZ499" s="9"/>
      <c r="CA499" s="9"/>
      <c r="CB499" s="9"/>
      <c r="CC499" s="9"/>
      <c r="CD499" s="9"/>
      <c r="CE499" s="9"/>
      <c r="CF499" s="9"/>
      <c r="CG499" s="9"/>
      <c r="CH499" s="9"/>
      <c r="CI499" s="9"/>
      <c r="CJ499" s="9"/>
      <c r="CK499" s="9"/>
      <c r="CL499" s="9"/>
      <c r="CM499" s="9"/>
      <c r="CN499" s="9"/>
      <c r="CO499" s="9"/>
      <c r="CP499" s="9"/>
      <c r="CQ499" s="9"/>
      <c r="CR499" s="9"/>
      <c r="CS499" s="9"/>
      <c r="CT499" s="9"/>
      <c r="CU499" s="9"/>
      <c r="CV499" s="9"/>
      <c r="CW499" s="9"/>
      <c r="CX499" s="9"/>
      <c r="CY499" s="9"/>
      <c r="CZ499" s="9"/>
      <c r="DA499" s="9"/>
      <c r="DB499" s="9"/>
      <c r="DC499" s="9"/>
      <c r="DD499" s="9"/>
      <c r="DE499" s="9"/>
      <c r="DF499" s="9"/>
      <c r="DG499" s="9"/>
      <c r="DH499" s="76"/>
    </row>
    <row r="500" spans="1:112" ht="15.95" customHeight="1" x14ac:dyDescent="0.2">
      <c r="A500" s="127">
        <f t="shared" si="73"/>
        <v>410</v>
      </c>
      <c r="B500" s="112">
        <f t="shared" si="72"/>
        <v>19</v>
      </c>
      <c r="C500" s="116" t="s">
        <v>861</v>
      </c>
      <c r="D500" s="227" t="s">
        <v>862</v>
      </c>
      <c r="E500" s="116" t="s">
        <v>14</v>
      </c>
      <c r="F500" s="118">
        <f>20100.5+5025.12+5025.12+5025.12+5025.12+5025.12</f>
        <v>45226.100000000006</v>
      </c>
      <c r="G500" s="160"/>
      <c r="H500" s="120"/>
      <c r="I500" s="179"/>
      <c r="J500" s="74">
        <f>+F502</f>
        <v>205500</v>
      </c>
      <c r="K500" s="17">
        <f>+H502</f>
        <v>100000</v>
      </c>
      <c r="L500" s="8"/>
      <c r="M500" s="8"/>
      <c r="N500" s="8"/>
      <c r="O500" s="8"/>
      <c r="P500" s="8"/>
      <c r="Q500" s="8"/>
      <c r="R500" s="8"/>
    </row>
    <row r="501" spans="1:112" s="31" customFormat="1" ht="19.5" customHeight="1" x14ac:dyDescent="0.2">
      <c r="A501" s="127">
        <f t="shared" si="73"/>
        <v>411</v>
      </c>
      <c r="B501" s="112">
        <f t="shared" si="72"/>
        <v>20</v>
      </c>
      <c r="C501" s="116" t="s">
        <v>857</v>
      </c>
      <c r="D501" s="227" t="s">
        <v>863</v>
      </c>
      <c r="E501" s="116" t="s">
        <v>14</v>
      </c>
      <c r="F501" s="118">
        <f>36000+9000*4+9000*4</f>
        <v>108000</v>
      </c>
      <c r="G501" s="160"/>
      <c r="H501" s="120"/>
      <c r="I501" s="179"/>
      <c r="J501" s="74">
        <f>H503+F503</f>
        <v>50460507.200000003</v>
      </c>
      <c r="K501" s="17"/>
      <c r="L501" s="11"/>
      <c r="M501" s="11"/>
      <c r="N501" s="11"/>
      <c r="O501" s="11"/>
      <c r="P501" s="11"/>
      <c r="Q501" s="11"/>
      <c r="R501" s="11"/>
      <c r="S501" s="8"/>
      <c r="T501" s="8"/>
      <c r="U501" s="8"/>
      <c r="V501" s="8"/>
      <c r="W501" s="8"/>
      <c r="X501" s="8"/>
      <c r="Y501" s="8"/>
      <c r="Z501" s="8"/>
      <c r="AA501" s="8"/>
      <c r="AB501" s="8"/>
      <c r="AC501" s="8"/>
      <c r="AD501" s="8"/>
      <c r="AE501" s="8"/>
      <c r="AF501" s="8"/>
      <c r="AG501" s="8"/>
      <c r="AH501" s="8"/>
      <c r="AI501" s="8"/>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c r="BH501" s="9"/>
      <c r="BI501" s="9"/>
      <c r="BJ501" s="9"/>
      <c r="BK501" s="9"/>
      <c r="BL501" s="9"/>
      <c r="BM501" s="9"/>
      <c r="BN501" s="9"/>
      <c r="BO501" s="9"/>
      <c r="BP501" s="9"/>
      <c r="BQ501" s="9"/>
      <c r="BR501" s="9"/>
      <c r="BS501" s="9"/>
      <c r="BT501" s="9"/>
      <c r="BU501" s="9"/>
      <c r="BV501" s="9"/>
      <c r="BW501" s="9"/>
      <c r="BX501" s="9"/>
      <c r="BY501" s="9"/>
      <c r="BZ501" s="9"/>
      <c r="CA501" s="9"/>
      <c r="CB501" s="9"/>
      <c r="CC501" s="9"/>
      <c r="CD501" s="9"/>
      <c r="CE501" s="9"/>
      <c r="CF501" s="9"/>
      <c r="CG501" s="9"/>
      <c r="CH501" s="9"/>
      <c r="CI501" s="9"/>
      <c r="CJ501" s="9"/>
      <c r="CK501" s="9"/>
      <c r="CL501" s="9"/>
      <c r="CM501" s="9"/>
      <c r="CN501" s="9"/>
      <c r="CO501" s="9"/>
      <c r="CP501" s="9"/>
      <c r="CQ501" s="9"/>
      <c r="CR501" s="9"/>
      <c r="CS501" s="9"/>
      <c r="CT501" s="9"/>
      <c r="CU501" s="9"/>
      <c r="CV501" s="9"/>
      <c r="CW501" s="9"/>
      <c r="CX501" s="9"/>
      <c r="CY501" s="9"/>
      <c r="CZ501" s="9"/>
      <c r="DA501" s="9"/>
      <c r="DB501" s="9"/>
      <c r="DC501" s="9"/>
      <c r="DD501" s="9"/>
      <c r="DE501" s="9"/>
      <c r="DF501" s="9"/>
      <c r="DG501" s="9"/>
    </row>
    <row r="502" spans="1:112" ht="18" customHeight="1" x14ac:dyDescent="0.2">
      <c r="A502" s="129">
        <f t="shared" si="73"/>
        <v>412</v>
      </c>
      <c r="B502" s="130">
        <v>21</v>
      </c>
      <c r="C502" s="131" t="s">
        <v>864</v>
      </c>
      <c r="D502" s="229" t="s">
        <v>865</v>
      </c>
      <c r="E502" s="131" t="s">
        <v>68</v>
      </c>
      <c r="F502" s="132">
        <f>30000+10125*4+33750*4</f>
        <v>205500</v>
      </c>
      <c r="G502" s="162"/>
      <c r="H502" s="133">
        <v>100000</v>
      </c>
      <c r="I502" s="184" t="s">
        <v>40</v>
      </c>
      <c r="J502" s="74">
        <f t="shared" ref="J502:J508" si="74">+F504</f>
        <v>0</v>
      </c>
      <c r="K502" s="17">
        <f t="shared" ref="K502:K508" si="75">+H504</f>
        <v>0</v>
      </c>
    </row>
    <row r="503" spans="1:112" ht="15.95" customHeight="1" x14ac:dyDescent="0.2">
      <c r="A503" s="149" t="s">
        <v>866</v>
      </c>
      <c r="B503" s="3"/>
      <c r="C503" s="2"/>
      <c r="D503" s="225"/>
      <c r="E503" s="2"/>
      <c r="F503" s="134">
        <f>SUM(F482:F502)</f>
        <v>14230307.199999999</v>
      </c>
      <c r="G503" s="164"/>
      <c r="H503" s="134">
        <f>SUM(H482:H502)</f>
        <v>36230200</v>
      </c>
      <c r="I503" s="187"/>
      <c r="J503" s="74">
        <f>J501+J477</f>
        <v>460808507.19999999</v>
      </c>
      <c r="K503" s="17">
        <f t="shared" si="75"/>
        <v>0</v>
      </c>
    </row>
    <row r="504" spans="1:112" s="14" customFormat="1" ht="6.75" customHeight="1" x14ac:dyDescent="0.2">
      <c r="A504" s="83"/>
      <c r="C504" s="64"/>
      <c r="D504" s="226"/>
      <c r="E504" s="64"/>
      <c r="F504" s="13"/>
      <c r="G504" s="169"/>
      <c r="H504" s="13"/>
      <c r="I504" s="189"/>
      <c r="J504" s="206"/>
    </row>
    <row r="505" spans="1:112" ht="15.95" customHeight="1" x14ac:dyDescent="0.2">
      <c r="A505" s="254" t="s">
        <v>867</v>
      </c>
      <c r="B505" s="255"/>
      <c r="C505" s="255"/>
      <c r="D505" s="255"/>
      <c r="E505" s="255"/>
      <c r="F505" s="255"/>
      <c r="G505" s="255"/>
      <c r="H505" s="255"/>
      <c r="I505" s="256"/>
      <c r="J505" s="74">
        <f t="shared" si="74"/>
        <v>610752289</v>
      </c>
      <c r="K505" s="17">
        <f t="shared" si="75"/>
        <v>0</v>
      </c>
    </row>
    <row r="506" spans="1:112" ht="15.95" customHeight="1" x14ac:dyDescent="0.2">
      <c r="A506" s="14"/>
      <c r="B506" s="14"/>
      <c r="C506" s="14"/>
      <c r="D506" s="226"/>
      <c r="E506" s="14"/>
      <c r="F506" s="14"/>
      <c r="G506" s="168"/>
      <c r="H506" s="14"/>
      <c r="I506" s="168"/>
      <c r="J506" s="74">
        <f t="shared" si="74"/>
        <v>120101777</v>
      </c>
      <c r="K506" s="17">
        <f t="shared" si="75"/>
        <v>0</v>
      </c>
    </row>
    <row r="507" spans="1:112" ht="15.95" customHeight="1" x14ac:dyDescent="0.2">
      <c r="A507" s="99">
        <f>A502+1</f>
        <v>413</v>
      </c>
      <c r="B507" s="100">
        <v>1</v>
      </c>
      <c r="C507" s="103" t="s">
        <v>82</v>
      </c>
      <c r="D507" s="223" t="s">
        <v>868</v>
      </c>
      <c r="E507" s="103" t="s">
        <v>610</v>
      </c>
      <c r="F507" s="117">
        <v>610752289</v>
      </c>
      <c r="G507" s="159"/>
      <c r="H507" s="105"/>
      <c r="I507" s="176"/>
      <c r="J507" s="74">
        <f t="shared" si="74"/>
        <v>40000000</v>
      </c>
      <c r="K507" s="17">
        <f t="shared" si="75"/>
        <v>0</v>
      </c>
    </row>
    <row r="508" spans="1:112" ht="15.95" customHeight="1" x14ac:dyDescent="0.2">
      <c r="A508" s="127">
        <f>A507+1</f>
        <v>414</v>
      </c>
      <c r="B508" s="112">
        <v>2</v>
      </c>
      <c r="C508" s="116" t="s">
        <v>869</v>
      </c>
      <c r="D508" s="227" t="s">
        <v>870</v>
      </c>
      <c r="E508" s="116" t="s">
        <v>104</v>
      </c>
      <c r="F508" s="118">
        <v>120101777</v>
      </c>
      <c r="G508" s="160"/>
      <c r="H508" s="120"/>
      <c r="I508" s="179"/>
      <c r="J508" s="74">
        <f t="shared" si="74"/>
        <v>126481383.23999999</v>
      </c>
      <c r="K508" s="17">
        <f t="shared" si="75"/>
        <v>0</v>
      </c>
    </row>
    <row r="509" spans="1:112" ht="18.75" customHeight="1" x14ac:dyDescent="0.2">
      <c r="A509" s="127">
        <f>A508+1</f>
        <v>415</v>
      </c>
      <c r="B509" s="112">
        <v>3</v>
      </c>
      <c r="C509" s="116" t="s">
        <v>229</v>
      </c>
      <c r="D509" s="227" t="s">
        <v>871</v>
      </c>
      <c r="E509" s="116" t="s">
        <v>104</v>
      </c>
      <c r="F509" s="118">
        <v>40000000</v>
      </c>
      <c r="G509" s="160"/>
      <c r="H509" s="120"/>
      <c r="I509" s="179"/>
      <c r="J509" s="74"/>
      <c r="K509" s="17"/>
    </row>
    <row r="510" spans="1:112" ht="14.25" customHeight="1" x14ac:dyDescent="0.2">
      <c r="A510" s="101">
        <f>A509+1</f>
        <v>416</v>
      </c>
      <c r="B510" s="102">
        <v>4</v>
      </c>
      <c r="C510" s="104" t="s">
        <v>276</v>
      </c>
      <c r="D510" s="224" t="s">
        <v>872</v>
      </c>
      <c r="E510" s="104" t="s">
        <v>14</v>
      </c>
      <c r="F510" s="106">
        <v>126481383.23999999</v>
      </c>
      <c r="G510" s="156"/>
      <c r="H510" s="107"/>
      <c r="I510" s="177"/>
      <c r="J510" s="74">
        <f>+F512</f>
        <v>0</v>
      </c>
      <c r="K510" s="17">
        <f>+H512</f>
        <v>0</v>
      </c>
    </row>
    <row r="511" spans="1:112" ht="15.95" customHeight="1" x14ac:dyDescent="0.2">
      <c r="A511" s="16" t="s">
        <v>873</v>
      </c>
      <c r="B511" s="3"/>
      <c r="C511" s="2"/>
      <c r="D511" s="225"/>
      <c r="E511" s="2"/>
      <c r="F511" s="108">
        <f>SUM(F507:F510)</f>
        <v>897335449.24000001</v>
      </c>
      <c r="G511" s="157"/>
      <c r="H511" s="134">
        <f>SUM(H507:H510)</f>
        <v>0</v>
      </c>
      <c r="I511" s="185"/>
      <c r="J511" s="74">
        <f>+F513</f>
        <v>0</v>
      </c>
      <c r="K511" s="17">
        <f>+H513</f>
        <v>0</v>
      </c>
    </row>
    <row r="512" spans="1:112" s="14" customFormat="1" ht="6.75" customHeight="1" x14ac:dyDescent="0.2">
      <c r="C512" s="64"/>
      <c r="D512" s="226"/>
      <c r="E512" s="64"/>
      <c r="F512" s="15"/>
      <c r="G512" s="158"/>
      <c r="H512" s="13"/>
      <c r="I512" s="168"/>
      <c r="J512" s="206"/>
    </row>
    <row r="513" spans="1:112" ht="26.25" customHeight="1" x14ac:dyDescent="0.2">
      <c r="A513" s="254" t="s">
        <v>874</v>
      </c>
      <c r="B513" s="255"/>
      <c r="C513" s="255"/>
      <c r="D513" s="255"/>
      <c r="E513" s="255"/>
      <c r="F513" s="255"/>
      <c r="G513" s="255"/>
      <c r="H513" s="255"/>
      <c r="I513" s="256"/>
      <c r="J513" s="74">
        <f>+F515</f>
        <v>92582</v>
      </c>
      <c r="K513" s="17">
        <f>+H515</f>
        <v>5526787</v>
      </c>
    </row>
    <row r="514" spans="1:112" ht="15.75" customHeight="1" x14ac:dyDescent="0.2">
      <c r="A514" s="14"/>
      <c r="B514" s="14"/>
      <c r="C514" s="14"/>
      <c r="D514" s="226"/>
      <c r="E514" s="14"/>
      <c r="F514" s="14"/>
      <c r="G514" s="168"/>
      <c r="H514" s="14"/>
      <c r="I514" s="168"/>
      <c r="J514" s="74"/>
      <c r="K514" s="17"/>
    </row>
    <row r="515" spans="1:112" ht="26.25" customHeight="1" x14ac:dyDescent="0.2">
      <c r="A515" s="99">
        <f>A510+1</f>
        <v>417</v>
      </c>
      <c r="B515" s="100">
        <v>1</v>
      </c>
      <c r="C515" s="103" t="s">
        <v>875</v>
      </c>
      <c r="D515" s="223" t="s">
        <v>876</v>
      </c>
      <c r="E515" s="103" t="s">
        <v>90</v>
      </c>
      <c r="F515" s="117">
        <v>92582</v>
      </c>
      <c r="G515" s="159"/>
      <c r="H515" s="105">
        <v>5526787</v>
      </c>
      <c r="I515" s="176"/>
      <c r="J515" s="74"/>
      <c r="K515" s="17"/>
    </row>
    <row r="516" spans="1:112" s="71" customFormat="1" ht="15.95" customHeight="1" x14ac:dyDescent="0.2">
      <c r="A516" s="127">
        <f t="shared" ref="A516:B518" si="76">A515+1</f>
        <v>418</v>
      </c>
      <c r="B516" s="112">
        <f t="shared" si="76"/>
        <v>2</v>
      </c>
      <c r="C516" s="116" t="s">
        <v>877</v>
      </c>
      <c r="D516" s="227" t="s">
        <v>878</v>
      </c>
      <c r="E516" s="116" t="s">
        <v>23</v>
      </c>
      <c r="F516" s="118"/>
      <c r="G516" s="160"/>
      <c r="H516" s="120">
        <v>70260281</v>
      </c>
      <c r="I516" s="179"/>
      <c r="J516" s="74"/>
      <c r="K516" s="17"/>
      <c r="L516" s="11"/>
      <c r="M516" s="11"/>
      <c r="N516" s="11"/>
      <c r="O516" s="11"/>
      <c r="P516" s="11"/>
      <c r="Q516" s="11"/>
      <c r="R516" s="11"/>
      <c r="S516" s="8"/>
      <c r="T516" s="8"/>
      <c r="U516" s="8"/>
      <c r="V516" s="8"/>
      <c r="W516" s="8"/>
      <c r="X516" s="8"/>
      <c r="Y516" s="8"/>
      <c r="Z516" s="8"/>
      <c r="AA516" s="8"/>
      <c r="AB516" s="8"/>
      <c r="AC516" s="8"/>
      <c r="AD516" s="8"/>
      <c r="AE516" s="8"/>
      <c r="AF516" s="8"/>
      <c r="AG516" s="8"/>
      <c r="AH516" s="8"/>
      <c r="AI516" s="8"/>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c r="BH516" s="9"/>
      <c r="BI516" s="9"/>
      <c r="BJ516" s="9"/>
      <c r="BK516" s="9"/>
      <c r="BL516" s="9"/>
      <c r="BM516" s="9"/>
      <c r="BN516" s="9"/>
      <c r="BO516" s="9"/>
      <c r="BP516" s="9"/>
      <c r="BQ516" s="9"/>
      <c r="BR516" s="9"/>
      <c r="BS516" s="9"/>
      <c r="BT516" s="9"/>
      <c r="BU516" s="9"/>
      <c r="BV516" s="9"/>
      <c r="BW516" s="9"/>
      <c r="BX516" s="9"/>
      <c r="BY516" s="9"/>
      <c r="BZ516" s="9"/>
      <c r="CA516" s="9"/>
      <c r="CB516" s="9"/>
      <c r="CC516" s="9"/>
      <c r="CD516" s="9"/>
      <c r="CE516" s="9"/>
      <c r="CF516" s="9"/>
      <c r="CG516" s="9"/>
      <c r="CH516" s="9"/>
      <c r="CI516" s="9"/>
      <c r="CJ516" s="9"/>
      <c r="CK516" s="9"/>
      <c r="CL516" s="9"/>
      <c r="CM516" s="9"/>
      <c r="CN516" s="9"/>
      <c r="CO516" s="9"/>
      <c r="CP516" s="9"/>
      <c r="CQ516" s="9"/>
      <c r="CR516" s="9"/>
      <c r="CS516" s="9"/>
      <c r="CT516" s="9"/>
      <c r="CU516" s="9"/>
      <c r="CV516" s="9"/>
      <c r="CW516" s="9"/>
      <c r="CX516" s="9"/>
      <c r="CY516" s="9"/>
      <c r="CZ516" s="9"/>
      <c r="DA516" s="9"/>
      <c r="DB516" s="9"/>
      <c r="DC516" s="9"/>
      <c r="DD516" s="9"/>
      <c r="DE516" s="9"/>
      <c r="DF516" s="9"/>
      <c r="DG516" s="9"/>
      <c r="DH516" s="77"/>
    </row>
    <row r="517" spans="1:112" ht="24.75" customHeight="1" x14ac:dyDescent="0.2">
      <c r="A517" s="127">
        <f t="shared" si="76"/>
        <v>419</v>
      </c>
      <c r="B517" s="112">
        <f t="shared" si="76"/>
        <v>3</v>
      </c>
      <c r="C517" s="116" t="s">
        <v>879</v>
      </c>
      <c r="D517" s="227" t="s">
        <v>880</v>
      </c>
      <c r="E517" s="116" t="s">
        <v>90</v>
      </c>
      <c r="F517" s="118">
        <v>20004</v>
      </c>
      <c r="G517" s="160"/>
      <c r="H517" s="120">
        <v>205504</v>
      </c>
      <c r="I517" s="179"/>
      <c r="J517" s="74"/>
      <c r="K517" s="17"/>
    </row>
    <row r="518" spans="1:112" ht="27.75" customHeight="1" x14ac:dyDescent="0.2">
      <c r="A518" s="127">
        <f t="shared" si="76"/>
        <v>420</v>
      </c>
      <c r="B518" s="112">
        <f t="shared" si="76"/>
        <v>4</v>
      </c>
      <c r="C518" s="116" t="s">
        <v>881</v>
      </c>
      <c r="D518" s="227" t="s">
        <v>882</v>
      </c>
      <c r="E518" s="116" t="s">
        <v>90</v>
      </c>
      <c r="F518" s="118">
        <v>455777</v>
      </c>
      <c r="G518" s="160"/>
      <c r="H518" s="120">
        <v>5528792</v>
      </c>
      <c r="I518" s="179"/>
      <c r="J518" s="74"/>
      <c r="K518" s="17"/>
      <c r="L518" s="8"/>
      <c r="M518" s="8"/>
      <c r="N518" s="8"/>
      <c r="O518" s="8"/>
      <c r="P518" s="8"/>
      <c r="Q518" s="8"/>
      <c r="R518" s="8"/>
    </row>
    <row r="519" spans="1:112" s="71" customFormat="1" ht="24.75" customHeight="1" x14ac:dyDescent="0.2">
      <c r="A519" s="127">
        <f t="shared" ref="A519:A529" si="77">A518+1</f>
        <v>421</v>
      </c>
      <c r="B519" s="112">
        <v>5</v>
      </c>
      <c r="C519" s="116" t="s">
        <v>883</v>
      </c>
      <c r="D519" s="227" t="s">
        <v>884</v>
      </c>
      <c r="E519" s="116" t="s">
        <v>545</v>
      </c>
      <c r="F519" s="118">
        <f>+(28800707.67+28710803.06)/2.88</f>
        <v>19969274.55902778</v>
      </c>
      <c r="G519" s="160"/>
      <c r="H519" s="120">
        <v>150000000</v>
      </c>
      <c r="I519" s="179"/>
      <c r="J519" s="74"/>
      <c r="K519" s="17"/>
      <c r="L519" s="11"/>
      <c r="M519" s="11"/>
      <c r="N519" s="11"/>
      <c r="O519" s="11"/>
      <c r="P519" s="11"/>
      <c r="Q519" s="11"/>
      <c r="R519" s="11"/>
      <c r="S519" s="8"/>
      <c r="T519" s="8"/>
      <c r="U519" s="8"/>
      <c r="V519" s="8"/>
      <c r="W519" s="8"/>
      <c r="X519" s="8"/>
      <c r="Y519" s="8"/>
      <c r="Z519" s="8"/>
      <c r="AA519" s="8"/>
      <c r="AB519" s="8"/>
      <c r="AC519" s="8"/>
      <c r="AD519" s="8"/>
      <c r="AE519" s="8"/>
      <c r="AF519" s="8"/>
      <c r="AG519" s="8"/>
      <c r="AH519" s="8"/>
      <c r="AI519" s="8"/>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c r="BI519" s="9"/>
      <c r="BJ519" s="9"/>
      <c r="BK519" s="9"/>
      <c r="BL519" s="9"/>
      <c r="BM519" s="9"/>
      <c r="BN519" s="9"/>
      <c r="BO519" s="9"/>
      <c r="BP519" s="9"/>
      <c r="BQ519" s="9"/>
      <c r="BR519" s="9"/>
      <c r="BS519" s="9"/>
      <c r="BT519" s="9"/>
      <c r="BU519" s="9"/>
      <c r="BV519" s="9"/>
      <c r="BW519" s="9"/>
      <c r="BX519" s="9"/>
      <c r="BY519" s="9"/>
      <c r="BZ519" s="9"/>
      <c r="CA519" s="9"/>
      <c r="CB519" s="9"/>
      <c r="CC519" s="9"/>
      <c r="CD519" s="9"/>
      <c r="CE519" s="9"/>
      <c r="CF519" s="9"/>
      <c r="CG519" s="9"/>
      <c r="CH519" s="9"/>
      <c r="CI519" s="9"/>
      <c r="CJ519" s="9"/>
      <c r="CK519" s="9"/>
      <c r="CL519" s="9"/>
      <c r="CM519" s="9"/>
      <c r="CN519" s="9"/>
      <c r="CO519" s="9"/>
      <c r="CP519" s="9"/>
      <c r="CQ519" s="9"/>
      <c r="CR519" s="9"/>
      <c r="CS519" s="9"/>
      <c r="CT519" s="9"/>
      <c r="CU519" s="9"/>
      <c r="CV519" s="9"/>
      <c r="CW519" s="9"/>
      <c r="CX519" s="9"/>
      <c r="CY519" s="9"/>
      <c r="CZ519" s="9"/>
      <c r="DA519" s="9"/>
      <c r="DB519" s="9"/>
      <c r="DC519" s="9"/>
      <c r="DD519" s="9"/>
      <c r="DE519" s="9"/>
      <c r="DF519" s="9"/>
      <c r="DG519" s="9"/>
      <c r="DH519" s="77"/>
    </row>
    <row r="520" spans="1:112" s="71" customFormat="1" ht="24.75" customHeight="1" x14ac:dyDescent="0.2">
      <c r="A520" s="127">
        <f t="shared" si="77"/>
        <v>422</v>
      </c>
      <c r="B520" s="112">
        <v>6</v>
      </c>
      <c r="C520" s="116" t="s">
        <v>885</v>
      </c>
      <c r="D520" s="227" t="s">
        <v>886</v>
      </c>
      <c r="E520" s="116" t="s">
        <v>545</v>
      </c>
      <c r="F520" s="118">
        <v>1500000</v>
      </c>
      <c r="G520" s="160"/>
      <c r="H520" s="120">
        <v>11718782</v>
      </c>
      <c r="I520" s="179"/>
      <c r="J520" s="74"/>
      <c r="K520" s="17"/>
      <c r="L520" s="11"/>
      <c r="M520" s="11"/>
      <c r="N520" s="11"/>
      <c r="O520" s="11"/>
      <c r="P520" s="11"/>
      <c r="Q520" s="11"/>
      <c r="R520" s="11"/>
      <c r="S520" s="8"/>
      <c r="T520" s="8"/>
      <c r="U520" s="8"/>
      <c r="V520" s="8"/>
      <c r="W520" s="8"/>
      <c r="X520" s="8"/>
      <c r="Y520" s="8"/>
      <c r="Z520" s="8"/>
      <c r="AA520" s="8"/>
      <c r="AB520" s="8"/>
      <c r="AC520" s="8"/>
      <c r="AD520" s="8"/>
      <c r="AE520" s="8"/>
      <c r="AF520" s="8"/>
      <c r="AG520" s="8"/>
      <c r="AH520" s="8"/>
      <c r="AI520" s="8"/>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c r="BO520" s="9"/>
      <c r="BP520" s="9"/>
      <c r="BQ520" s="9"/>
      <c r="BR520" s="9"/>
      <c r="BS520" s="9"/>
      <c r="BT520" s="9"/>
      <c r="BU520" s="9"/>
      <c r="BV520" s="9"/>
      <c r="BW520" s="9"/>
      <c r="BX520" s="9"/>
      <c r="BY520" s="9"/>
      <c r="BZ520" s="9"/>
      <c r="CA520" s="9"/>
      <c r="CB520" s="9"/>
      <c r="CC520" s="9"/>
      <c r="CD520" s="9"/>
      <c r="CE520" s="9"/>
      <c r="CF520" s="9"/>
      <c r="CG520" s="9"/>
      <c r="CH520" s="9"/>
      <c r="CI520" s="9"/>
      <c r="CJ520" s="9"/>
      <c r="CK520" s="9"/>
      <c r="CL520" s="9"/>
      <c r="CM520" s="9"/>
      <c r="CN520" s="9"/>
      <c r="CO520" s="9"/>
      <c r="CP520" s="9"/>
      <c r="CQ520" s="9"/>
      <c r="CR520" s="9"/>
      <c r="CS520" s="9"/>
      <c r="CT520" s="9"/>
      <c r="CU520" s="9"/>
      <c r="CV520" s="9"/>
      <c r="CW520" s="9"/>
      <c r="CX520" s="9"/>
      <c r="CY520" s="9"/>
      <c r="CZ520" s="9"/>
      <c r="DA520" s="9"/>
      <c r="DB520" s="9"/>
      <c r="DC520" s="9"/>
      <c r="DD520" s="9"/>
      <c r="DE520" s="9"/>
      <c r="DF520" s="9"/>
      <c r="DG520" s="9"/>
      <c r="DH520" s="77"/>
    </row>
    <row r="521" spans="1:112" s="71" customFormat="1" ht="24.75" customHeight="1" x14ac:dyDescent="0.2">
      <c r="A521" s="101">
        <f t="shared" si="77"/>
        <v>423</v>
      </c>
      <c r="B521" s="102">
        <v>7</v>
      </c>
      <c r="C521" s="116" t="s">
        <v>887</v>
      </c>
      <c r="D521" s="227" t="s">
        <v>888</v>
      </c>
      <c r="E521" s="116" t="s">
        <v>603</v>
      </c>
      <c r="F521" s="118"/>
      <c r="G521" s="160"/>
      <c r="H521" s="120">
        <f>120330000/1.19</f>
        <v>101117647.05882354</v>
      </c>
      <c r="I521" s="179"/>
      <c r="J521" s="74"/>
      <c r="K521" s="17"/>
      <c r="L521" s="11"/>
      <c r="M521" s="11"/>
      <c r="N521" s="11"/>
      <c r="O521" s="11"/>
      <c r="P521" s="11"/>
      <c r="Q521" s="11"/>
      <c r="R521" s="11"/>
      <c r="S521" s="8"/>
      <c r="T521" s="8"/>
      <c r="U521" s="8"/>
      <c r="V521" s="8"/>
      <c r="W521" s="8"/>
      <c r="X521" s="8"/>
      <c r="Y521" s="8"/>
      <c r="Z521" s="8"/>
      <c r="AA521" s="8"/>
      <c r="AB521" s="8"/>
      <c r="AC521" s="8"/>
      <c r="AD521" s="8"/>
      <c r="AE521" s="8"/>
      <c r="AF521" s="8"/>
      <c r="AG521" s="8"/>
      <c r="AH521" s="8"/>
      <c r="AI521" s="8"/>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c r="BI521" s="9"/>
      <c r="BJ521" s="9"/>
      <c r="BK521" s="9"/>
      <c r="BL521" s="9"/>
      <c r="BM521" s="9"/>
      <c r="BN521" s="9"/>
      <c r="BO521" s="9"/>
      <c r="BP521" s="9"/>
      <c r="BQ521" s="9"/>
      <c r="BR521" s="9"/>
      <c r="BS521" s="9"/>
      <c r="BT521" s="9"/>
      <c r="BU521" s="9"/>
      <c r="BV521" s="9"/>
      <c r="BW521" s="9"/>
      <c r="BX521" s="9"/>
      <c r="BY521" s="9"/>
      <c r="BZ521" s="9"/>
      <c r="CA521" s="9"/>
      <c r="CB521" s="9"/>
      <c r="CC521" s="9"/>
      <c r="CD521" s="9"/>
      <c r="CE521" s="9"/>
      <c r="CF521" s="9"/>
      <c r="CG521" s="9"/>
      <c r="CH521" s="9"/>
      <c r="CI521" s="9"/>
      <c r="CJ521" s="9"/>
      <c r="CK521" s="9"/>
      <c r="CL521" s="9"/>
      <c r="CM521" s="9"/>
      <c r="CN521" s="9"/>
      <c r="CO521" s="9"/>
      <c r="CP521" s="9"/>
      <c r="CQ521" s="9"/>
      <c r="CR521" s="9"/>
      <c r="CS521" s="9"/>
      <c r="CT521" s="9"/>
      <c r="CU521" s="9"/>
      <c r="CV521" s="9"/>
      <c r="CW521" s="9"/>
      <c r="CX521" s="9"/>
      <c r="CY521" s="9"/>
      <c r="CZ521" s="9"/>
      <c r="DA521" s="9"/>
      <c r="DB521" s="9"/>
      <c r="DC521" s="9"/>
      <c r="DD521" s="9"/>
      <c r="DE521" s="9"/>
      <c r="DF521" s="9"/>
      <c r="DG521" s="9"/>
      <c r="DH521" s="77"/>
    </row>
    <row r="522" spans="1:112" s="71" customFormat="1" ht="37.9" customHeight="1" x14ac:dyDescent="0.2">
      <c r="A522" s="101">
        <f t="shared" si="77"/>
        <v>424</v>
      </c>
      <c r="B522" s="102">
        <v>8</v>
      </c>
      <c r="C522" s="116" t="s">
        <v>889</v>
      </c>
      <c r="D522" s="227" t="s">
        <v>890</v>
      </c>
      <c r="E522" s="116" t="s">
        <v>891</v>
      </c>
      <c r="F522" s="118"/>
      <c r="G522" s="160"/>
      <c r="H522" s="120"/>
      <c r="I522" s="179"/>
      <c r="J522" s="74"/>
      <c r="K522" s="17"/>
      <c r="L522" s="11"/>
      <c r="M522" s="11"/>
      <c r="N522" s="11"/>
      <c r="O522" s="11"/>
      <c r="P522" s="11"/>
      <c r="Q522" s="11"/>
      <c r="R522" s="11"/>
      <c r="S522" s="8"/>
      <c r="T522" s="8"/>
      <c r="U522" s="8"/>
      <c r="V522" s="8"/>
      <c r="W522" s="8"/>
      <c r="X522" s="8"/>
      <c r="Y522" s="8"/>
      <c r="Z522" s="8"/>
      <c r="AA522" s="8"/>
      <c r="AB522" s="8"/>
      <c r="AC522" s="8"/>
      <c r="AD522" s="8"/>
      <c r="AE522" s="8"/>
      <c r="AF522" s="8"/>
      <c r="AG522" s="8"/>
      <c r="AH522" s="8"/>
      <c r="AI522" s="8"/>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c r="BI522" s="9"/>
      <c r="BJ522" s="9"/>
      <c r="BK522" s="9"/>
      <c r="BL522" s="9"/>
      <c r="BM522" s="9"/>
      <c r="BN522" s="9"/>
      <c r="BO522" s="9"/>
      <c r="BP522" s="9"/>
      <c r="BQ522" s="9"/>
      <c r="BR522" s="9"/>
      <c r="BS522" s="9"/>
      <c r="BT522" s="9"/>
      <c r="BU522" s="9"/>
      <c r="BV522" s="9"/>
      <c r="BW522" s="9"/>
      <c r="BX522" s="9"/>
      <c r="BY522" s="9"/>
      <c r="BZ522" s="9"/>
      <c r="CA522" s="9"/>
      <c r="CB522" s="9"/>
      <c r="CC522" s="9"/>
      <c r="CD522" s="9"/>
      <c r="CE522" s="9"/>
      <c r="CF522" s="9"/>
      <c r="CG522" s="9"/>
      <c r="CH522" s="9"/>
      <c r="CI522" s="9"/>
      <c r="CJ522" s="9"/>
      <c r="CK522" s="9"/>
      <c r="CL522" s="9"/>
      <c r="CM522" s="9"/>
      <c r="CN522" s="9"/>
      <c r="CO522" s="9"/>
      <c r="CP522" s="9"/>
      <c r="CQ522" s="9"/>
      <c r="CR522" s="9"/>
      <c r="CS522" s="9"/>
      <c r="CT522" s="9"/>
      <c r="CU522" s="9"/>
      <c r="CV522" s="9"/>
      <c r="CW522" s="9"/>
      <c r="CX522" s="9"/>
      <c r="CY522" s="9"/>
      <c r="CZ522" s="9"/>
      <c r="DA522" s="9"/>
      <c r="DB522" s="9"/>
      <c r="DC522" s="9"/>
      <c r="DD522" s="9"/>
      <c r="DE522" s="9"/>
      <c r="DF522" s="9"/>
      <c r="DG522" s="9"/>
      <c r="DH522" s="77"/>
    </row>
    <row r="523" spans="1:112" ht="21" customHeight="1" x14ac:dyDescent="0.2">
      <c r="A523" s="101">
        <f t="shared" si="77"/>
        <v>425</v>
      </c>
      <c r="B523" s="102">
        <v>9</v>
      </c>
      <c r="C523" s="116" t="s">
        <v>892</v>
      </c>
      <c r="D523" s="227" t="s">
        <v>893</v>
      </c>
      <c r="E523" s="116" t="s">
        <v>104</v>
      </c>
      <c r="F523" s="118"/>
      <c r="G523" s="160"/>
      <c r="H523" s="120">
        <f>438000000/1.18</f>
        <v>371186440.67796612</v>
      </c>
      <c r="I523" s="179"/>
      <c r="J523" s="74">
        <f>H530+F530</f>
        <v>5713206957.4857149</v>
      </c>
      <c r="K523" s="17"/>
    </row>
    <row r="524" spans="1:112" ht="27" customHeight="1" x14ac:dyDescent="0.2">
      <c r="A524" s="101">
        <f t="shared" si="77"/>
        <v>426</v>
      </c>
      <c r="B524" s="100">
        <f>PAG.1!B454+1</f>
        <v>101</v>
      </c>
      <c r="C524" s="116" t="s">
        <v>798</v>
      </c>
      <c r="D524" s="227" t="s">
        <v>799</v>
      </c>
      <c r="E524" s="116" t="s">
        <v>607</v>
      </c>
      <c r="F524" s="118"/>
      <c r="G524" s="160"/>
      <c r="H524" s="120">
        <f>(863070375)/3.303</f>
        <v>261298932.78837422</v>
      </c>
      <c r="I524" s="179" t="s">
        <v>800</v>
      </c>
      <c r="J524" s="213"/>
      <c r="K524" s="213"/>
      <c r="L524" s="8"/>
      <c r="M524" s="8"/>
      <c r="N524" s="8"/>
      <c r="O524" s="8"/>
      <c r="P524" s="8"/>
      <c r="Q524" s="8"/>
      <c r="R524" s="8"/>
    </row>
    <row r="525" spans="1:112" ht="38.25" customHeight="1" x14ac:dyDescent="0.2">
      <c r="A525" s="101">
        <f t="shared" si="77"/>
        <v>427</v>
      </c>
      <c r="B525" s="102">
        <v>10</v>
      </c>
      <c r="C525" s="116" t="s">
        <v>894</v>
      </c>
      <c r="D525" s="227" t="s">
        <v>895</v>
      </c>
      <c r="E525" s="116" t="s">
        <v>896</v>
      </c>
      <c r="F525" s="118"/>
      <c r="G525" s="160"/>
      <c r="H525" s="120">
        <f>227720929/3.94</f>
        <v>57797190.101522841</v>
      </c>
      <c r="I525" s="179"/>
      <c r="J525" s="74"/>
      <c r="K525" s="17"/>
    </row>
    <row r="526" spans="1:112" ht="16.5" customHeight="1" x14ac:dyDescent="0.2">
      <c r="A526" s="101">
        <f t="shared" si="77"/>
        <v>428</v>
      </c>
      <c r="B526" s="100">
        <v>11</v>
      </c>
      <c r="C526" s="116" t="s">
        <v>1161</v>
      </c>
      <c r="D526" s="227" t="s">
        <v>1162</v>
      </c>
      <c r="E526" s="116" t="s">
        <v>603</v>
      </c>
      <c r="F526" s="118"/>
      <c r="G526" s="160"/>
      <c r="H526" s="120">
        <v>404849114.30000001</v>
      </c>
      <c r="I526" s="179"/>
      <c r="J526" s="74"/>
      <c r="K526" s="17"/>
    </row>
    <row r="527" spans="1:112" ht="17.25" customHeight="1" x14ac:dyDescent="0.2">
      <c r="A527" s="101">
        <f t="shared" si="77"/>
        <v>429</v>
      </c>
      <c r="B527" s="100">
        <v>12</v>
      </c>
      <c r="C527" s="116" t="s">
        <v>1163</v>
      </c>
      <c r="D527" s="227" t="s">
        <v>1164</v>
      </c>
      <c r="E527" s="116" t="s">
        <v>32</v>
      </c>
      <c r="F527" s="118"/>
      <c r="G527" s="160"/>
      <c r="H527" s="120">
        <v>3396416674</v>
      </c>
      <c r="I527" s="179"/>
      <c r="J527" s="74"/>
      <c r="K527" s="17"/>
    </row>
    <row r="528" spans="1:112" ht="50.25" customHeight="1" x14ac:dyDescent="0.2">
      <c r="A528" s="101">
        <f t="shared" si="77"/>
        <v>430</v>
      </c>
      <c r="B528" s="100">
        <v>13</v>
      </c>
      <c r="C528" s="116" t="s">
        <v>1176</v>
      </c>
      <c r="D528" s="227" t="s">
        <v>1180</v>
      </c>
      <c r="E528" s="116" t="s">
        <v>14</v>
      </c>
      <c r="F528" s="118">
        <v>22164225</v>
      </c>
      <c r="G528" s="160"/>
      <c r="H528" s="120">
        <v>736538599</v>
      </c>
      <c r="I528" s="179"/>
      <c r="J528" s="74"/>
      <c r="K528" s="17"/>
    </row>
    <row r="529" spans="1:112" ht="50.25" customHeight="1" x14ac:dyDescent="0.2">
      <c r="A529" s="101">
        <f t="shared" si="77"/>
        <v>431</v>
      </c>
      <c r="B529" s="100">
        <v>14</v>
      </c>
      <c r="C529" s="104" t="s">
        <v>1186</v>
      </c>
      <c r="D529" s="241" t="s">
        <v>1185</v>
      </c>
      <c r="E529" s="243" t="s">
        <v>607</v>
      </c>
      <c r="F529" s="106"/>
      <c r="G529" s="242"/>
      <c r="H529" s="107">
        <v>96560351</v>
      </c>
      <c r="I529" s="237"/>
      <c r="J529" s="213"/>
      <c r="K529" s="213"/>
    </row>
    <row r="530" spans="1:112" ht="15.95" customHeight="1" x14ac:dyDescent="0.2">
      <c r="A530" s="16" t="s">
        <v>1195</v>
      </c>
      <c r="B530" s="48"/>
      <c r="C530" s="68"/>
      <c r="D530" s="228"/>
      <c r="E530" s="68"/>
      <c r="F530" s="150">
        <f>SUM(F515:F528)</f>
        <v>44201862.559027776</v>
      </c>
      <c r="G530" s="163"/>
      <c r="H530" s="134">
        <f>SUM(H515:H529)</f>
        <v>5669005094.9266872</v>
      </c>
      <c r="I530" s="190"/>
      <c r="J530" s="213"/>
      <c r="K530" s="17"/>
    </row>
    <row r="531" spans="1:112" s="14" customFormat="1" ht="6.75" customHeight="1" x14ac:dyDescent="0.2">
      <c r="B531" s="12"/>
      <c r="C531" s="65"/>
      <c r="D531" s="234"/>
      <c r="E531" s="65"/>
      <c r="F531" s="72"/>
      <c r="G531" s="170"/>
      <c r="H531" s="72"/>
      <c r="I531" s="191"/>
      <c r="J531" s="206"/>
    </row>
    <row r="532" spans="1:112" ht="27" customHeight="1" x14ac:dyDescent="0.2">
      <c r="A532" s="254" t="s">
        <v>897</v>
      </c>
      <c r="B532" s="255"/>
      <c r="C532" s="255"/>
      <c r="D532" s="255"/>
      <c r="E532" s="255"/>
      <c r="F532" s="255"/>
      <c r="G532" s="255"/>
      <c r="H532" s="255"/>
      <c r="I532" s="256"/>
      <c r="J532" s="74"/>
      <c r="K532" s="17"/>
    </row>
    <row r="533" spans="1:112" ht="21" customHeight="1" x14ac:dyDescent="0.2">
      <c r="A533" s="14"/>
      <c r="B533" s="14"/>
      <c r="C533" s="14"/>
      <c r="D533" s="226"/>
      <c r="E533" s="14"/>
      <c r="F533" s="14"/>
      <c r="G533" s="168"/>
      <c r="H533" s="14"/>
      <c r="I533" s="168"/>
      <c r="J533" s="74"/>
      <c r="K533" s="17"/>
    </row>
    <row r="534" spans="1:112" ht="29.25" customHeight="1" x14ac:dyDescent="0.2">
      <c r="A534" s="127">
        <f>A529+1</f>
        <v>432</v>
      </c>
      <c r="B534" s="112">
        <v>1</v>
      </c>
      <c r="C534" s="116" t="s">
        <v>898</v>
      </c>
      <c r="D534" s="227" t="s">
        <v>899</v>
      </c>
      <c r="E534" s="116" t="s">
        <v>610</v>
      </c>
      <c r="F534" s="118"/>
      <c r="G534" s="160"/>
      <c r="H534" s="120">
        <v>8850000</v>
      </c>
      <c r="I534" s="179" t="s">
        <v>641</v>
      </c>
      <c r="J534" s="74"/>
      <c r="K534" s="17"/>
    </row>
    <row r="535" spans="1:112" ht="27" customHeight="1" x14ac:dyDescent="0.2">
      <c r="A535" s="127">
        <f t="shared" ref="A535:B543" si="78">A534+1</f>
        <v>433</v>
      </c>
      <c r="B535" s="112">
        <f>B534+1</f>
        <v>2</v>
      </c>
      <c r="C535" s="116" t="s">
        <v>900</v>
      </c>
      <c r="D535" s="227" t="s">
        <v>901</v>
      </c>
      <c r="E535" s="116" t="s">
        <v>610</v>
      </c>
      <c r="F535" s="118"/>
      <c r="G535" s="160"/>
      <c r="H535" s="120">
        <v>11558231</v>
      </c>
      <c r="I535" s="179" t="s">
        <v>641</v>
      </c>
      <c r="J535" s="74"/>
      <c r="K535" s="17"/>
    </row>
    <row r="536" spans="1:112" ht="27" customHeight="1" x14ac:dyDescent="0.2">
      <c r="A536" s="127">
        <f t="shared" si="78"/>
        <v>434</v>
      </c>
      <c r="B536" s="112">
        <f t="shared" si="78"/>
        <v>3</v>
      </c>
      <c r="C536" s="116" t="s">
        <v>902</v>
      </c>
      <c r="D536" s="227" t="s">
        <v>903</v>
      </c>
      <c r="E536" s="116" t="s">
        <v>610</v>
      </c>
      <c r="F536" s="118"/>
      <c r="G536" s="160"/>
      <c r="H536" s="120">
        <v>48840000</v>
      </c>
      <c r="I536" s="179" t="s">
        <v>641</v>
      </c>
      <c r="J536" s="74"/>
      <c r="K536" s="17"/>
    </row>
    <row r="537" spans="1:112" ht="27" customHeight="1" x14ac:dyDescent="0.2">
      <c r="A537" s="127">
        <f t="shared" si="78"/>
        <v>435</v>
      </c>
      <c r="B537" s="112">
        <f t="shared" si="78"/>
        <v>4</v>
      </c>
      <c r="C537" s="116" t="s">
        <v>693</v>
      </c>
      <c r="D537" s="227" t="s">
        <v>904</v>
      </c>
      <c r="E537" s="116" t="s">
        <v>610</v>
      </c>
      <c r="F537" s="118"/>
      <c r="G537" s="160"/>
      <c r="H537" s="120">
        <v>8910344</v>
      </c>
      <c r="I537" s="179" t="s">
        <v>641</v>
      </c>
      <c r="J537" s="74"/>
      <c r="K537" s="17"/>
    </row>
    <row r="538" spans="1:112" ht="27" customHeight="1" x14ac:dyDescent="0.2">
      <c r="A538" s="127">
        <f t="shared" si="78"/>
        <v>436</v>
      </c>
      <c r="B538" s="112">
        <f t="shared" si="78"/>
        <v>5</v>
      </c>
      <c r="C538" s="116" t="s">
        <v>905</v>
      </c>
      <c r="D538" s="227" t="s">
        <v>906</v>
      </c>
      <c r="E538" s="116" t="s">
        <v>610</v>
      </c>
      <c r="F538" s="118"/>
      <c r="G538" s="160"/>
      <c r="H538" s="120">
        <v>15900000</v>
      </c>
      <c r="I538" s="179" t="s">
        <v>641</v>
      </c>
      <c r="J538" s="74"/>
      <c r="K538" s="17"/>
    </row>
    <row r="539" spans="1:112" ht="27" customHeight="1" x14ac:dyDescent="0.2">
      <c r="A539" s="127">
        <f t="shared" si="78"/>
        <v>437</v>
      </c>
      <c r="B539" s="112">
        <f t="shared" si="78"/>
        <v>6</v>
      </c>
      <c r="C539" s="116" t="s">
        <v>907</v>
      </c>
      <c r="D539" s="227" t="s">
        <v>908</v>
      </c>
      <c r="E539" s="116" t="s">
        <v>610</v>
      </c>
      <c r="F539" s="118"/>
      <c r="G539" s="160"/>
      <c r="H539" s="120">
        <v>14983544</v>
      </c>
      <c r="I539" s="179" t="s">
        <v>641</v>
      </c>
      <c r="J539" s="74"/>
      <c r="K539" s="17"/>
    </row>
    <row r="540" spans="1:112" ht="41.25" customHeight="1" x14ac:dyDescent="0.2">
      <c r="A540" s="127">
        <f t="shared" si="78"/>
        <v>438</v>
      </c>
      <c r="B540" s="112">
        <f t="shared" si="78"/>
        <v>7</v>
      </c>
      <c r="C540" s="116" t="s">
        <v>907</v>
      </c>
      <c r="D540" s="227" t="s">
        <v>909</v>
      </c>
      <c r="E540" s="116" t="s">
        <v>610</v>
      </c>
      <c r="F540" s="118"/>
      <c r="G540" s="160"/>
      <c r="H540" s="120">
        <v>17189134</v>
      </c>
      <c r="I540" s="179" t="s">
        <v>641</v>
      </c>
      <c r="J540" s="74"/>
      <c r="K540" s="17"/>
    </row>
    <row r="541" spans="1:112" s="71" customFormat="1" ht="27" customHeight="1" x14ac:dyDescent="0.2">
      <c r="A541" s="127">
        <f t="shared" si="78"/>
        <v>439</v>
      </c>
      <c r="B541" s="112">
        <f t="shared" si="78"/>
        <v>8</v>
      </c>
      <c r="C541" s="116" t="s">
        <v>910</v>
      </c>
      <c r="D541" s="227" t="s">
        <v>911</v>
      </c>
      <c r="E541" s="116" t="s">
        <v>610</v>
      </c>
      <c r="F541" s="118"/>
      <c r="G541" s="160"/>
      <c r="H541" s="120">
        <v>14717777</v>
      </c>
      <c r="I541" s="179" t="s">
        <v>641</v>
      </c>
      <c r="J541" s="74"/>
      <c r="K541" s="17"/>
      <c r="L541" s="11"/>
      <c r="M541" s="11"/>
      <c r="N541" s="11"/>
      <c r="O541" s="11"/>
      <c r="P541" s="11"/>
      <c r="Q541" s="11"/>
      <c r="R541" s="11"/>
      <c r="S541" s="8"/>
      <c r="T541" s="8"/>
      <c r="U541" s="8"/>
      <c r="V541" s="8"/>
      <c r="W541" s="8"/>
      <c r="X541" s="8"/>
      <c r="Y541" s="8"/>
      <c r="Z541" s="8"/>
      <c r="AA541" s="8"/>
      <c r="AB541" s="8"/>
      <c r="AC541" s="8"/>
      <c r="AD541" s="8"/>
      <c r="AE541" s="8"/>
      <c r="AF541" s="8"/>
      <c r="AG541" s="8"/>
      <c r="AH541" s="8"/>
      <c r="AI541" s="8"/>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c r="BH541" s="9"/>
      <c r="BI541" s="9"/>
      <c r="BJ541" s="9"/>
      <c r="BK541" s="9"/>
      <c r="BL541" s="9"/>
      <c r="BM541" s="9"/>
      <c r="BN541" s="9"/>
      <c r="BO541" s="9"/>
      <c r="BP541" s="9"/>
      <c r="BQ541" s="9"/>
      <c r="BR541" s="9"/>
      <c r="BS541" s="9"/>
      <c r="BT541" s="9"/>
      <c r="BU541" s="9"/>
      <c r="BV541" s="9"/>
      <c r="BW541" s="9"/>
      <c r="BX541" s="9"/>
      <c r="BY541" s="9"/>
      <c r="BZ541" s="9"/>
      <c r="CA541" s="9"/>
      <c r="CB541" s="9"/>
      <c r="CC541" s="9"/>
      <c r="CD541" s="9"/>
      <c r="CE541" s="9"/>
      <c r="CF541" s="9"/>
      <c r="CG541" s="9"/>
      <c r="CH541" s="9"/>
      <c r="CI541" s="9"/>
      <c r="CJ541" s="9"/>
      <c r="CK541" s="9"/>
      <c r="CL541" s="9"/>
      <c r="CM541" s="9"/>
      <c r="CN541" s="9"/>
      <c r="CO541" s="9"/>
      <c r="CP541" s="9"/>
      <c r="CQ541" s="9"/>
      <c r="CR541" s="9"/>
      <c r="CS541" s="9"/>
      <c r="CT541" s="9"/>
      <c r="CU541" s="9"/>
      <c r="CV541" s="9"/>
      <c r="CW541" s="9"/>
      <c r="CX541" s="9"/>
      <c r="CY541" s="9"/>
      <c r="CZ541" s="9"/>
      <c r="DA541" s="9"/>
      <c r="DB541" s="9"/>
      <c r="DC541" s="9"/>
      <c r="DD541" s="9"/>
      <c r="DE541" s="9"/>
      <c r="DF541" s="9"/>
      <c r="DG541" s="9"/>
      <c r="DH541" s="77"/>
    </row>
    <row r="542" spans="1:112" s="71" customFormat="1" ht="41.25" customHeight="1" x14ac:dyDescent="0.2">
      <c r="A542" s="127">
        <f t="shared" si="78"/>
        <v>440</v>
      </c>
      <c r="B542" s="112">
        <f t="shared" si="78"/>
        <v>9</v>
      </c>
      <c r="C542" s="116" t="s">
        <v>910</v>
      </c>
      <c r="D542" s="227" t="s">
        <v>912</v>
      </c>
      <c r="E542" s="116" t="s">
        <v>610</v>
      </c>
      <c r="F542" s="118"/>
      <c r="G542" s="160"/>
      <c r="H542" s="120">
        <v>14462000</v>
      </c>
      <c r="I542" s="179" t="s">
        <v>641</v>
      </c>
      <c r="J542" s="74"/>
      <c r="K542" s="17"/>
      <c r="L542" s="11"/>
      <c r="M542" s="11"/>
      <c r="N542" s="11"/>
      <c r="O542" s="11"/>
      <c r="P542" s="11"/>
      <c r="Q542" s="11"/>
      <c r="R542" s="11"/>
      <c r="S542" s="8"/>
      <c r="T542" s="8"/>
      <c r="U542" s="8"/>
      <c r="V542" s="8"/>
      <c r="W542" s="8"/>
      <c r="X542" s="8"/>
      <c r="Y542" s="8"/>
      <c r="Z542" s="8"/>
      <c r="AA542" s="8"/>
      <c r="AB542" s="8"/>
      <c r="AC542" s="8"/>
      <c r="AD542" s="8"/>
      <c r="AE542" s="8"/>
      <c r="AF542" s="8"/>
      <c r="AG542" s="8"/>
      <c r="AH542" s="8"/>
      <c r="AI542" s="8"/>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c r="BI542" s="9"/>
      <c r="BJ542" s="9"/>
      <c r="BK542" s="9"/>
      <c r="BL542" s="9"/>
      <c r="BM542" s="9"/>
      <c r="BN542" s="9"/>
      <c r="BO542" s="9"/>
      <c r="BP542" s="9"/>
      <c r="BQ542" s="9"/>
      <c r="BR542" s="9"/>
      <c r="BS542" s="9"/>
      <c r="BT542" s="9"/>
      <c r="BU542" s="9"/>
      <c r="BV542" s="9"/>
      <c r="BW542" s="9"/>
      <c r="BX542" s="9"/>
      <c r="BY542" s="9"/>
      <c r="BZ542" s="9"/>
      <c r="CA542" s="9"/>
      <c r="CB542" s="9"/>
      <c r="CC542" s="9"/>
      <c r="CD542" s="9"/>
      <c r="CE542" s="9"/>
      <c r="CF542" s="9"/>
      <c r="CG542" s="9"/>
      <c r="CH542" s="9"/>
      <c r="CI542" s="9"/>
      <c r="CJ542" s="9"/>
      <c r="CK542" s="9"/>
      <c r="CL542" s="9"/>
      <c r="CM542" s="9"/>
      <c r="CN542" s="9"/>
      <c r="CO542" s="9"/>
      <c r="CP542" s="9"/>
      <c r="CQ542" s="9"/>
      <c r="CR542" s="9"/>
      <c r="CS542" s="9"/>
      <c r="CT542" s="9"/>
      <c r="CU542" s="9"/>
      <c r="CV542" s="9"/>
      <c r="CW542" s="9"/>
      <c r="CX542" s="9"/>
      <c r="CY542" s="9"/>
      <c r="CZ542" s="9"/>
      <c r="DA542" s="9"/>
      <c r="DB542" s="9"/>
      <c r="DC542" s="9"/>
      <c r="DD542" s="9"/>
      <c r="DE542" s="9"/>
      <c r="DF542" s="9"/>
      <c r="DG542" s="9"/>
      <c r="DH542" s="77"/>
    </row>
    <row r="543" spans="1:112" s="71" customFormat="1" ht="27" customHeight="1" x14ac:dyDescent="0.2">
      <c r="A543" s="101">
        <f t="shared" si="78"/>
        <v>441</v>
      </c>
      <c r="B543" s="102">
        <f t="shared" si="78"/>
        <v>10</v>
      </c>
      <c r="C543" s="104" t="s">
        <v>913</v>
      </c>
      <c r="D543" s="224" t="s">
        <v>914</v>
      </c>
      <c r="E543" s="104" t="s">
        <v>610</v>
      </c>
      <c r="F543" s="106"/>
      <c r="G543" s="156"/>
      <c r="H543" s="107">
        <v>3604240</v>
      </c>
      <c r="I543" s="177" t="s">
        <v>641</v>
      </c>
      <c r="J543" s="74"/>
      <c r="K543" s="17"/>
      <c r="L543" s="11"/>
      <c r="M543" s="11"/>
      <c r="N543" s="11"/>
      <c r="O543" s="11"/>
      <c r="P543" s="11"/>
      <c r="Q543" s="11"/>
      <c r="R543" s="11"/>
      <c r="S543" s="8"/>
      <c r="T543" s="8"/>
      <c r="U543" s="8"/>
      <c r="V543" s="8"/>
      <c r="W543" s="8"/>
      <c r="X543" s="8"/>
      <c r="Y543" s="8"/>
      <c r="Z543" s="8"/>
      <c r="AA543" s="8"/>
      <c r="AB543" s="8"/>
      <c r="AC543" s="8"/>
      <c r="AD543" s="8"/>
      <c r="AE543" s="8"/>
      <c r="AF543" s="8"/>
      <c r="AG543" s="8"/>
      <c r="AH543" s="8"/>
      <c r="AI543" s="8"/>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c r="BI543" s="9"/>
      <c r="BJ543" s="9"/>
      <c r="BK543" s="9"/>
      <c r="BL543" s="9"/>
      <c r="BM543" s="9"/>
      <c r="BN543" s="9"/>
      <c r="BO543" s="9"/>
      <c r="BP543" s="9"/>
      <c r="BQ543" s="9"/>
      <c r="BR543" s="9"/>
      <c r="BS543" s="9"/>
      <c r="BT543" s="9"/>
      <c r="BU543" s="9"/>
      <c r="BV543" s="9"/>
      <c r="BW543" s="9"/>
      <c r="BX543" s="9"/>
      <c r="BY543" s="9"/>
      <c r="BZ543" s="9"/>
      <c r="CA543" s="9"/>
      <c r="CB543" s="9"/>
      <c r="CC543" s="9"/>
      <c r="CD543" s="9"/>
      <c r="CE543" s="9"/>
      <c r="CF543" s="9"/>
      <c r="CG543" s="9"/>
      <c r="CH543" s="9"/>
      <c r="CI543" s="9"/>
      <c r="CJ543" s="9"/>
      <c r="CK543" s="9"/>
      <c r="CL543" s="9"/>
      <c r="CM543" s="9"/>
      <c r="CN543" s="9"/>
      <c r="CO543" s="9"/>
      <c r="CP543" s="9"/>
      <c r="CQ543" s="9"/>
      <c r="CR543" s="9"/>
      <c r="CS543" s="9"/>
      <c r="CT543" s="9"/>
      <c r="CU543" s="9"/>
      <c r="CV543" s="9"/>
      <c r="CW543" s="9"/>
      <c r="CX543" s="9"/>
      <c r="CY543" s="9"/>
      <c r="CZ543" s="9"/>
      <c r="DA543" s="9"/>
      <c r="DB543" s="9"/>
      <c r="DC543" s="9"/>
      <c r="DD543" s="9"/>
      <c r="DE543" s="9"/>
      <c r="DF543" s="9"/>
      <c r="DG543" s="9"/>
      <c r="DH543" s="77"/>
    </row>
    <row r="544" spans="1:112" s="71" customFormat="1" ht="27" customHeight="1" x14ac:dyDescent="0.2">
      <c r="A544" s="101">
        <f t="shared" ref="A544:B551" si="79">A543+1</f>
        <v>442</v>
      </c>
      <c r="B544" s="102">
        <f t="shared" si="79"/>
        <v>11</v>
      </c>
      <c r="C544" s="104" t="s">
        <v>747</v>
      </c>
      <c r="D544" s="224" t="s">
        <v>915</v>
      </c>
      <c r="E544" s="104" t="s">
        <v>610</v>
      </c>
      <c r="F544" s="106"/>
      <c r="G544" s="156"/>
      <c r="H544" s="107">
        <v>25250000</v>
      </c>
      <c r="I544" s="177"/>
      <c r="J544" s="74"/>
      <c r="K544" s="17"/>
      <c r="L544" s="11"/>
      <c r="M544" s="11"/>
      <c r="N544" s="11"/>
      <c r="O544" s="11"/>
      <c r="P544" s="11"/>
      <c r="Q544" s="11"/>
      <c r="R544" s="11"/>
      <c r="S544" s="8"/>
      <c r="T544" s="8"/>
      <c r="U544" s="8"/>
      <c r="V544" s="8"/>
      <c r="W544" s="8"/>
      <c r="X544" s="8"/>
      <c r="Y544" s="8"/>
      <c r="Z544" s="8"/>
      <c r="AA544" s="8"/>
      <c r="AB544" s="8"/>
      <c r="AC544" s="8"/>
      <c r="AD544" s="8"/>
      <c r="AE544" s="8"/>
      <c r="AF544" s="8"/>
      <c r="AG544" s="8"/>
      <c r="AH544" s="8"/>
      <c r="AI544" s="8"/>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c r="BP544" s="9"/>
      <c r="BQ544" s="9"/>
      <c r="BR544" s="9"/>
      <c r="BS544" s="9"/>
      <c r="BT544" s="9"/>
      <c r="BU544" s="9"/>
      <c r="BV544" s="9"/>
      <c r="BW544" s="9"/>
      <c r="BX544" s="9"/>
      <c r="BY544" s="9"/>
      <c r="BZ544" s="9"/>
      <c r="CA544" s="9"/>
      <c r="CB544" s="9"/>
      <c r="CC544" s="9"/>
      <c r="CD544" s="9"/>
      <c r="CE544" s="9"/>
      <c r="CF544" s="9"/>
      <c r="CG544" s="9"/>
      <c r="CH544" s="9"/>
      <c r="CI544" s="9"/>
      <c r="CJ544" s="9"/>
      <c r="CK544" s="9"/>
      <c r="CL544" s="9"/>
      <c r="CM544" s="9"/>
      <c r="CN544" s="9"/>
      <c r="CO544" s="9"/>
      <c r="CP544" s="9"/>
      <c r="CQ544" s="9"/>
      <c r="CR544" s="9"/>
      <c r="CS544" s="9"/>
      <c r="CT544" s="9"/>
      <c r="CU544" s="9"/>
      <c r="CV544" s="9"/>
      <c r="CW544" s="9"/>
      <c r="CX544" s="9"/>
      <c r="CY544" s="9"/>
      <c r="CZ544" s="9"/>
      <c r="DA544" s="9"/>
      <c r="DB544" s="9"/>
      <c r="DC544" s="9"/>
      <c r="DD544" s="9"/>
      <c r="DE544" s="9"/>
      <c r="DF544" s="9"/>
      <c r="DG544" s="9"/>
      <c r="DH544" s="77"/>
    </row>
    <row r="545" spans="1:112" s="71" customFormat="1" ht="27" customHeight="1" x14ac:dyDescent="0.2">
      <c r="A545" s="101">
        <f t="shared" si="79"/>
        <v>443</v>
      </c>
      <c r="B545" s="102">
        <f t="shared" si="79"/>
        <v>12</v>
      </c>
      <c r="C545" s="104" t="s">
        <v>916</v>
      </c>
      <c r="D545" s="224" t="s">
        <v>917</v>
      </c>
      <c r="E545" s="104" t="s">
        <v>610</v>
      </c>
      <c r="F545" s="106"/>
      <c r="G545" s="156"/>
      <c r="H545" s="107">
        <v>49400000</v>
      </c>
      <c r="I545" s="177"/>
      <c r="J545" s="74"/>
      <c r="K545" s="17"/>
      <c r="L545" s="11"/>
      <c r="M545" s="11"/>
      <c r="N545" s="11"/>
      <c r="O545" s="11"/>
      <c r="P545" s="11"/>
      <c r="Q545" s="11"/>
      <c r="R545" s="11"/>
      <c r="S545" s="8"/>
      <c r="T545" s="8"/>
      <c r="U545" s="8"/>
      <c r="V545" s="8"/>
      <c r="W545" s="8"/>
      <c r="X545" s="8"/>
      <c r="Y545" s="8"/>
      <c r="Z545" s="8"/>
      <c r="AA545" s="8"/>
      <c r="AB545" s="8"/>
      <c r="AC545" s="8"/>
      <c r="AD545" s="8"/>
      <c r="AE545" s="8"/>
      <c r="AF545" s="8"/>
      <c r="AG545" s="8"/>
      <c r="AH545" s="8"/>
      <c r="AI545" s="8"/>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c r="BO545" s="9"/>
      <c r="BP545" s="9"/>
      <c r="BQ545" s="9"/>
      <c r="BR545" s="9"/>
      <c r="BS545" s="9"/>
      <c r="BT545" s="9"/>
      <c r="BU545" s="9"/>
      <c r="BV545" s="9"/>
      <c r="BW545" s="9"/>
      <c r="BX545" s="9"/>
      <c r="BY545" s="9"/>
      <c r="BZ545" s="9"/>
      <c r="CA545" s="9"/>
      <c r="CB545" s="9"/>
      <c r="CC545" s="9"/>
      <c r="CD545" s="9"/>
      <c r="CE545" s="9"/>
      <c r="CF545" s="9"/>
      <c r="CG545" s="9"/>
      <c r="CH545" s="9"/>
      <c r="CI545" s="9"/>
      <c r="CJ545" s="9"/>
      <c r="CK545" s="9"/>
      <c r="CL545" s="9"/>
      <c r="CM545" s="9"/>
      <c r="CN545" s="9"/>
      <c r="CO545" s="9"/>
      <c r="CP545" s="9"/>
      <c r="CQ545" s="9"/>
      <c r="CR545" s="9"/>
      <c r="CS545" s="9"/>
      <c r="CT545" s="9"/>
      <c r="CU545" s="9"/>
      <c r="CV545" s="9"/>
      <c r="CW545" s="9"/>
      <c r="CX545" s="9"/>
      <c r="CY545" s="9"/>
      <c r="CZ545" s="9"/>
      <c r="DA545" s="9"/>
      <c r="DB545" s="9"/>
      <c r="DC545" s="9"/>
      <c r="DD545" s="9"/>
      <c r="DE545" s="9"/>
      <c r="DF545" s="9"/>
      <c r="DG545" s="9"/>
      <c r="DH545" s="77"/>
    </row>
    <row r="546" spans="1:112" s="71" customFormat="1" ht="42.75" customHeight="1" x14ac:dyDescent="0.2">
      <c r="A546" s="101">
        <f t="shared" si="79"/>
        <v>444</v>
      </c>
      <c r="B546" s="102">
        <f t="shared" si="79"/>
        <v>13</v>
      </c>
      <c r="C546" s="104" t="s">
        <v>916</v>
      </c>
      <c r="D546" s="224" t="s">
        <v>918</v>
      </c>
      <c r="E546" s="104" t="s">
        <v>610</v>
      </c>
      <c r="F546" s="106"/>
      <c r="G546" s="156"/>
      <c r="H546" s="107">
        <v>55300000</v>
      </c>
      <c r="I546" s="177"/>
      <c r="J546" s="74"/>
      <c r="K546" s="17"/>
      <c r="L546" s="11"/>
      <c r="M546" s="11"/>
      <c r="N546" s="11"/>
      <c r="O546" s="11"/>
      <c r="P546" s="11"/>
      <c r="Q546" s="11"/>
      <c r="R546" s="11"/>
      <c r="S546" s="8"/>
      <c r="T546" s="8"/>
      <c r="U546" s="8"/>
      <c r="V546" s="8"/>
      <c r="W546" s="8"/>
      <c r="X546" s="8"/>
      <c r="Y546" s="8"/>
      <c r="Z546" s="8"/>
      <c r="AA546" s="8"/>
      <c r="AB546" s="8"/>
      <c r="AC546" s="8"/>
      <c r="AD546" s="8"/>
      <c r="AE546" s="8"/>
      <c r="AF546" s="8"/>
      <c r="AG546" s="8"/>
      <c r="AH546" s="8"/>
      <c r="AI546" s="8"/>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c r="BI546" s="9"/>
      <c r="BJ546" s="9"/>
      <c r="BK546" s="9"/>
      <c r="BL546" s="9"/>
      <c r="BM546" s="9"/>
      <c r="BN546" s="9"/>
      <c r="BO546" s="9"/>
      <c r="BP546" s="9"/>
      <c r="BQ546" s="9"/>
      <c r="BR546" s="9"/>
      <c r="BS546" s="9"/>
      <c r="BT546" s="9"/>
      <c r="BU546" s="9"/>
      <c r="BV546" s="9"/>
      <c r="BW546" s="9"/>
      <c r="BX546" s="9"/>
      <c r="BY546" s="9"/>
      <c r="BZ546" s="9"/>
      <c r="CA546" s="9"/>
      <c r="CB546" s="9"/>
      <c r="CC546" s="9"/>
      <c r="CD546" s="9"/>
      <c r="CE546" s="9"/>
      <c r="CF546" s="9"/>
      <c r="CG546" s="9"/>
      <c r="CH546" s="9"/>
      <c r="CI546" s="9"/>
      <c r="CJ546" s="9"/>
      <c r="CK546" s="9"/>
      <c r="CL546" s="9"/>
      <c r="CM546" s="9"/>
      <c r="CN546" s="9"/>
      <c r="CO546" s="9"/>
      <c r="CP546" s="9"/>
      <c r="CQ546" s="9"/>
      <c r="CR546" s="9"/>
      <c r="CS546" s="9"/>
      <c r="CT546" s="9"/>
      <c r="CU546" s="9"/>
      <c r="CV546" s="9"/>
      <c r="CW546" s="9"/>
      <c r="CX546" s="9"/>
      <c r="CY546" s="9"/>
      <c r="CZ546" s="9"/>
      <c r="DA546" s="9"/>
      <c r="DB546" s="9"/>
      <c r="DC546" s="9"/>
      <c r="DD546" s="9"/>
      <c r="DE546" s="9"/>
      <c r="DF546" s="9"/>
      <c r="DG546" s="9"/>
      <c r="DH546" s="77"/>
    </row>
    <row r="547" spans="1:112" s="71" customFormat="1" ht="42.75" customHeight="1" x14ac:dyDescent="0.2">
      <c r="A547" s="101">
        <f t="shared" si="79"/>
        <v>445</v>
      </c>
      <c r="B547" s="102">
        <f t="shared" si="79"/>
        <v>14</v>
      </c>
      <c r="C547" s="104" t="s">
        <v>916</v>
      </c>
      <c r="D547" s="224" t="s">
        <v>919</v>
      </c>
      <c r="E547" s="104" t="s">
        <v>610</v>
      </c>
      <c r="F547" s="106"/>
      <c r="G547" s="156"/>
      <c r="H547" s="107">
        <v>42300000</v>
      </c>
      <c r="I547" s="177"/>
      <c r="J547" s="74"/>
      <c r="K547" s="17"/>
      <c r="L547" s="11"/>
      <c r="M547" s="11"/>
      <c r="N547" s="11"/>
      <c r="O547" s="11"/>
      <c r="P547" s="11"/>
      <c r="Q547" s="11"/>
      <c r="R547" s="11"/>
      <c r="S547" s="8"/>
      <c r="T547" s="8"/>
      <c r="U547" s="8"/>
      <c r="V547" s="8"/>
      <c r="W547" s="8"/>
      <c r="X547" s="8"/>
      <c r="Y547" s="8"/>
      <c r="Z547" s="8"/>
      <c r="AA547" s="8"/>
      <c r="AB547" s="8"/>
      <c r="AC547" s="8"/>
      <c r="AD547" s="8"/>
      <c r="AE547" s="8"/>
      <c r="AF547" s="8"/>
      <c r="AG547" s="8"/>
      <c r="AH547" s="8"/>
      <c r="AI547" s="8"/>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c r="BO547" s="9"/>
      <c r="BP547" s="9"/>
      <c r="BQ547" s="9"/>
      <c r="BR547" s="9"/>
      <c r="BS547" s="9"/>
      <c r="BT547" s="9"/>
      <c r="BU547" s="9"/>
      <c r="BV547" s="9"/>
      <c r="BW547" s="9"/>
      <c r="BX547" s="9"/>
      <c r="BY547" s="9"/>
      <c r="BZ547" s="9"/>
      <c r="CA547" s="9"/>
      <c r="CB547" s="9"/>
      <c r="CC547" s="9"/>
      <c r="CD547" s="9"/>
      <c r="CE547" s="9"/>
      <c r="CF547" s="9"/>
      <c r="CG547" s="9"/>
      <c r="CH547" s="9"/>
      <c r="CI547" s="9"/>
      <c r="CJ547" s="9"/>
      <c r="CK547" s="9"/>
      <c r="CL547" s="9"/>
      <c r="CM547" s="9"/>
      <c r="CN547" s="9"/>
      <c r="CO547" s="9"/>
      <c r="CP547" s="9"/>
      <c r="CQ547" s="9"/>
      <c r="CR547" s="9"/>
      <c r="CS547" s="9"/>
      <c r="CT547" s="9"/>
      <c r="CU547" s="9"/>
      <c r="CV547" s="9"/>
      <c r="CW547" s="9"/>
      <c r="CX547" s="9"/>
      <c r="CY547" s="9"/>
      <c r="CZ547" s="9"/>
      <c r="DA547" s="9"/>
      <c r="DB547" s="9"/>
      <c r="DC547" s="9"/>
      <c r="DD547" s="9"/>
      <c r="DE547" s="9"/>
      <c r="DF547" s="9"/>
      <c r="DG547" s="9"/>
      <c r="DH547" s="77"/>
    </row>
    <row r="548" spans="1:112" s="71" customFormat="1" ht="36" x14ac:dyDescent="0.2">
      <c r="A548" s="101">
        <f t="shared" si="79"/>
        <v>446</v>
      </c>
      <c r="B548" s="102">
        <f t="shared" si="79"/>
        <v>15</v>
      </c>
      <c r="C548" s="104" t="s">
        <v>916</v>
      </c>
      <c r="D548" s="224" t="s">
        <v>920</v>
      </c>
      <c r="E548" s="104" t="s">
        <v>610</v>
      </c>
      <c r="F548" s="106"/>
      <c r="G548" s="156"/>
      <c r="H548" s="107">
        <v>31500000</v>
      </c>
      <c r="I548" s="177"/>
      <c r="J548" s="74"/>
      <c r="K548" s="17"/>
      <c r="L548" s="11"/>
      <c r="M548" s="11"/>
      <c r="N548" s="11"/>
      <c r="O548" s="11"/>
      <c r="P548" s="11"/>
      <c r="Q548" s="11"/>
      <c r="R548" s="11"/>
      <c r="S548" s="8"/>
      <c r="T548" s="8"/>
      <c r="U548" s="8"/>
      <c r="V548" s="8"/>
      <c r="W548" s="8"/>
      <c r="X548" s="8"/>
      <c r="Y548" s="8"/>
      <c r="Z548" s="8"/>
      <c r="AA548" s="8"/>
      <c r="AB548" s="8"/>
      <c r="AC548" s="8"/>
      <c r="AD548" s="8"/>
      <c r="AE548" s="8"/>
      <c r="AF548" s="8"/>
      <c r="AG548" s="8"/>
      <c r="AH548" s="8"/>
      <c r="AI548" s="8"/>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c r="BH548" s="9"/>
      <c r="BI548" s="9"/>
      <c r="BJ548" s="9"/>
      <c r="BK548" s="9"/>
      <c r="BL548" s="9"/>
      <c r="BM548" s="9"/>
      <c r="BN548" s="9"/>
      <c r="BO548" s="9"/>
      <c r="BP548" s="9"/>
      <c r="BQ548" s="9"/>
      <c r="BR548" s="9"/>
      <c r="BS548" s="9"/>
      <c r="BT548" s="9"/>
      <c r="BU548" s="9"/>
      <c r="BV548" s="9"/>
      <c r="BW548" s="9"/>
      <c r="BX548" s="9"/>
      <c r="BY548" s="9"/>
      <c r="BZ548" s="9"/>
      <c r="CA548" s="9"/>
      <c r="CB548" s="9"/>
      <c r="CC548" s="9"/>
      <c r="CD548" s="9"/>
      <c r="CE548" s="9"/>
      <c r="CF548" s="9"/>
      <c r="CG548" s="9"/>
      <c r="CH548" s="9"/>
      <c r="CI548" s="9"/>
      <c r="CJ548" s="9"/>
      <c r="CK548" s="9"/>
      <c r="CL548" s="9"/>
      <c r="CM548" s="9"/>
      <c r="CN548" s="9"/>
      <c r="CO548" s="9"/>
      <c r="CP548" s="9"/>
      <c r="CQ548" s="9"/>
      <c r="CR548" s="9"/>
      <c r="CS548" s="9"/>
      <c r="CT548" s="9"/>
      <c r="CU548" s="9"/>
      <c r="CV548" s="9"/>
      <c r="CW548" s="9"/>
      <c r="CX548" s="9"/>
      <c r="CY548" s="9"/>
      <c r="CZ548" s="9"/>
      <c r="DA548" s="9"/>
      <c r="DB548" s="9"/>
      <c r="DC548" s="9"/>
      <c r="DD548" s="9"/>
      <c r="DE548" s="9"/>
      <c r="DF548" s="9"/>
      <c r="DG548" s="9"/>
      <c r="DH548" s="77"/>
    </row>
    <row r="549" spans="1:112" s="71" customFormat="1" ht="36" x14ac:dyDescent="0.2">
      <c r="A549" s="101">
        <f t="shared" si="79"/>
        <v>447</v>
      </c>
      <c r="B549" s="102">
        <f>B548+1</f>
        <v>16</v>
      </c>
      <c r="C549" s="104" t="s">
        <v>777</v>
      </c>
      <c r="D549" s="224" t="s">
        <v>921</v>
      </c>
      <c r="E549" s="104" t="s">
        <v>610</v>
      </c>
      <c r="F549" s="106"/>
      <c r="G549" s="156"/>
      <c r="H549" s="107">
        <v>250000000</v>
      </c>
      <c r="I549" s="177"/>
      <c r="J549" s="74"/>
      <c r="K549" s="17"/>
      <c r="L549" s="11"/>
      <c r="M549" s="11"/>
      <c r="N549" s="11"/>
      <c r="O549" s="11"/>
      <c r="P549" s="11"/>
      <c r="Q549" s="11"/>
      <c r="R549" s="11"/>
      <c r="S549" s="8"/>
      <c r="T549" s="8"/>
      <c r="U549" s="8"/>
      <c r="V549" s="8"/>
      <c r="W549" s="8"/>
      <c r="X549" s="8"/>
      <c r="Y549" s="8"/>
      <c r="Z549" s="8"/>
      <c r="AA549" s="8"/>
      <c r="AB549" s="8"/>
      <c r="AC549" s="8"/>
      <c r="AD549" s="8"/>
      <c r="AE549" s="8"/>
      <c r="AF549" s="8"/>
      <c r="AG549" s="8"/>
      <c r="AH549" s="8"/>
      <c r="AI549" s="8"/>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c r="BH549" s="9"/>
      <c r="BI549" s="9"/>
      <c r="BJ549" s="9"/>
      <c r="BK549" s="9"/>
      <c r="BL549" s="9"/>
      <c r="BM549" s="9"/>
      <c r="BN549" s="9"/>
      <c r="BO549" s="9"/>
      <c r="BP549" s="9"/>
      <c r="BQ549" s="9"/>
      <c r="BR549" s="9"/>
      <c r="BS549" s="9"/>
      <c r="BT549" s="9"/>
      <c r="BU549" s="9"/>
      <c r="BV549" s="9"/>
      <c r="BW549" s="9"/>
      <c r="BX549" s="9"/>
      <c r="BY549" s="9"/>
      <c r="BZ549" s="9"/>
      <c r="CA549" s="9"/>
      <c r="CB549" s="9"/>
      <c r="CC549" s="9"/>
      <c r="CD549" s="9"/>
      <c r="CE549" s="9"/>
      <c r="CF549" s="9"/>
      <c r="CG549" s="9"/>
      <c r="CH549" s="9"/>
      <c r="CI549" s="9"/>
      <c r="CJ549" s="9"/>
      <c r="CK549" s="9"/>
      <c r="CL549" s="9"/>
      <c r="CM549" s="9"/>
      <c r="CN549" s="9"/>
      <c r="CO549" s="9"/>
      <c r="CP549" s="9"/>
      <c r="CQ549" s="9"/>
      <c r="CR549" s="9"/>
      <c r="CS549" s="9"/>
      <c r="CT549" s="9"/>
      <c r="CU549" s="9"/>
      <c r="CV549" s="9"/>
      <c r="CW549" s="9"/>
      <c r="CX549" s="9"/>
      <c r="CY549" s="9"/>
      <c r="CZ549" s="9"/>
      <c r="DA549" s="9"/>
      <c r="DB549" s="9"/>
      <c r="DC549" s="9"/>
      <c r="DD549" s="9"/>
      <c r="DE549" s="9"/>
      <c r="DF549" s="9"/>
      <c r="DG549" s="9"/>
      <c r="DH549" s="77"/>
    </row>
    <row r="550" spans="1:112" ht="150" customHeight="1" x14ac:dyDescent="0.2">
      <c r="A550" s="101">
        <f t="shared" si="79"/>
        <v>448</v>
      </c>
      <c r="B550" s="102">
        <f>B549+1</f>
        <v>17</v>
      </c>
      <c r="C550" s="104" t="s">
        <v>922</v>
      </c>
      <c r="D550" s="224" t="s">
        <v>923</v>
      </c>
      <c r="E550" s="104" t="s">
        <v>610</v>
      </c>
      <c r="F550" s="106"/>
      <c r="G550" s="156"/>
      <c r="H550" s="107">
        <v>357480537.12</v>
      </c>
      <c r="I550" s="177"/>
      <c r="J550" s="74"/>
      <c r="K550" s="17"/>
    </row>
    <row r="551" spans="1:112" ht="57.75" customHeight="1" x14ac:dyDescent="0.2">
      <c r="A551" s="101">
        <f t="shared" si="79"/>
        <v>449</v>
      </c>
      <c r="B551" s="102">
        <f>B550+1</f>
        <v>18</v>
      </c>
      <c r="C551" s="104" t="s">
        <v>924</v>
      </c>
      <c r="D551" s="224" t="s">
        <v>925</v>
      </c>
      <c r="E551" s="104" t="s">
        <v>610</v>
      </c>
      <c r="F551" s="106"/>
      <c r="G551" s="156"/>
      <c r="H551" s="107">
        <v>600000000</v>
      </c>
      <c r="I551" s="177"/>
      <c r="J551" s="74">
        <f>+F553</f>
        <v>0</v>
      </c>
      <c r="K551" s="17">
        <f>+H553</f>
        <v>0</v>
      </c>
    </row>
    <row r="552" spans="1:112" ht="15.95" customHeight="1" x14ac:dyDescent="0.2">
      <c r="A552" s="16" t="s">
        <v>926</v>
      </c>
      <c r="B552" s="3"/>
      <c r="C552" s="2"/>
      <c r="D552" s="225"/>
      <c r="E552" s="2"/>
      <c r="F552" s="108"/>
      <c r="G552" s="157"/>
      <c r="H552" s="134">
        <f>SUM(H534:H551)</f>
        <v>1570245807.1199999</v>
      </c>
      <c r="I552" s="185"/>
      <c r="J552" s="74">
        <f>+F554</f>
        <v>0</v>
      </c>
      <c r="K552" s="17">
        <f>+H554</f>
        <v>0</v>
      </c>
    </row>
    <row r="553" spans="1:112" s="14" customFormat="1" ht="6.75" customHeight="1" x14ac:dyDescent="0.2">
      <c r="C553" s="64"/>
      <c r="D553" s="226"/>
      <c r="E553" s="64"/>
      <c r="F553" s="15"/>
      <c r="G553" s="158"/>
      <c r="H553" s="13"/>
      <c r="I553" s="168"/>
      <c r="J553" s="206"/>
    </row>
    <row r="554" spans="1:112" s="12" customFormat="1" ht="19.5" customHeight="1" x14ac:dyDescent="0.2">
      <c r="A554" s="251" t="s">
        <v>927</v>
      </c>
      <c r="B554" s="252"/>
      <c r="C554" s="252"/>
      <c r="D554" s="252"/>
      <c r="E554" s="252"/>
      <c r="F554" s="252"/>
      <c r="G554" s="252"/>
      <c r="H554" s="252"/>
      <c r="I554" s="253"/>
      <c r="J554" s="213"/>
      <c r="K554" s="17"/>
      <c r="L554" s="34"/>
      <c r="M554" s="34"/>
      <c r="N554" s="34"/>
      <c r="O554" s="34"/>
      <c r="P554" s="34"/>
      <c r="Q554" s="34"/>
      <c r="R554" s="34"/>
      <c r="S554" s="34"/>
      <c r="T554" s="34"/>
      <c r="U554" s="34"/>
      <c r="V554" s="34"/>
      <c r="W554" s="34"/>
      <c r="X554" s="34"/>
      <c r="Y554" s="34"/>
      <c r="Z554" s="34"/>
      <c r="AA554" s="34"/>
      <c r="AB554" s="34"/>
      <c r="AC554" s="34"/>
      <c r="AD554" s="34"/>
      <c r="AE554" s="34"/>
      <c r="AF554" s="34"/>
      <c r="AG554" s="34"/>
      <c r="AH554" s="34"/>
      <c r="AI554" s="34"/>
    </row>
    <row r="555" spans="1:112" s="12" customFormat="1" ht="19.5" customHeight="1" x14ac:dyDescent="0.2">
      <c r="A555" s="14"/>
      <c r="B555" s="14"/>
      <c r="C555" s="14"/>
      <c r="D555" s="226"/>
      <c r="E555" s="14"/>
      <c r="F555" s="14"/>
      <c r="G555" s="168"/>
      <c r="H555" s="14"/>
      <c r="I555" s="168"/>
      <c r="J555" s="213"/>
      <c r="K555" s="17">
        <f>+H557</f>
        <v>12400000</v>
      </c>
      <c r="L555" s="34"/>
      <c r="M555" s="34"/>
      <c r="N555" s="34"/>
      <c r="O555" s="34"/>
      <c r="P555" s="34"/>
      <c r="Q555" s="34"/>
      <c r="R555" s="34"/>
      <c r="S555" s="34"/>
      <c r="T555" s="34"/>
      <c r="U555" s="34"/>
      <c r="V555" s="34"/>
      <c r="W555" s="34"/>
      <c r="X555" s="34"/>
      <c r="Y555" s="34"/>
      <c r="Z555" s="34"/>
      <c r="AA555" s="34"/>
      <c r="AB555" s="34"/>
      <c r="AC555" s="34"/>
      <c r="AD555" s="34"/>
      <c r="AE555" s="34"/>
      <c r="AF555" s="34"/>
      <c r="AG555" s="34"/>
      <c r="AH555" s="34"/>
      <c r="AI555" s="34"/>
    </row>
    <row r="556" spans="1:112" ht="19.5" customHeight="1" x14ac:dyDescent="0.2">
      <c r="A556" s="99">
        <f>A551+1</f>
        <v>450</v>
      </c>
      <c r="B556" s="100">
        <v>1</v>
      </c>
      <c r="C556" s="103" t="s">
        <v>928</v>
      </c>
      <c r="D556" s="223" t="s">
        <v>929</v>
      </c>
      <c r="E556" s="103" t="s">
        <v>104</v>
      </c>
      <c r="F556" s="117">
        <v>176420050</v>
      </c>
      <c r="G556" s="159"/>
      <c r="H556" s="105">
        <v>54940000</v>
      </c>
      <c r="I556" s="176"/>
      <c r="J556" s="74"/>
      <c r="K556" s="17"/>
      <c r="L556" s="8"/>
      <c r="M556" s="8"/>
      <c r="N556" s="8"/>
      <c r="O556" s="8"/>
      <c r="P556" s="8"/>
      <c r="Q556" s="8"/>
      <c r="R556" s="8"/>
    </row>
    <row r="557" spans="1:112" s="12" customFormat="1" ht="19.5" customHeight="1" x14ac:dyDescent="0.2">
      <c r="A557" s="127">
        <f t="shared" ref="A557:B559" si="80">A556+1</f>
        <v>451</v>
      </c>
      <c r="B557" s="112">
        <f t="shared" si="80"/>
        <v>2</v>
      </c>
      <c r="C557" s="116" t="s">
        <v>930</v>
      </c>
      <c r="D557" s="227" t="s">
        <v>931</v>
      </c>
      <c r="E557" s="116" t="s">
        <v>137</v>
      </c>
      <c r="F557" s="118">
        <v>1243719</v>
      </c>
      <c r="G557" s="160"/>
      <c r="H557" s="120">
        <v>12400000</v>
      </c>
      <c r="I557" s="179"/>
      <c r="J557" s="74"/>
      <c r="K557" s="17"/>
      <c r="L557" s="34"/>
      <c r="M557" s="34"/>
      <c r="N557" s="34"/>
      <c r="O557" s="34"/>
      <c r="P557" s="34"/>
      <c r="Q557" s="34"/>
      <c r="R557" s="34"/>
      <c r="S557" s="34"/>
      <c r="T557" s="34"/>
      <c r="U557" s="34"/>
      <c r="V557" s="34"/>
      <c r="W557" s="34"/>
      <c r="X557" s="34"/>
      <c r="Y557" s="34"/>
      <c r="Z557" s="34"/>
      <c r="AA557" s="34"/>
      <c r="AB557" s="34"/>
      <c r="AC557" s="34"/>
      <c r="AD557" s="34"/>
      <c r="AE557" s="34"/>
      <c r="AF557" s="34"/>
      <c r="AG557" s="34"/>
      <c r="AH557" s="34"/>
      <c r="AI557" s="34"/>
    </row>
    <row r="558" spans="1:112" ht="26.25" customHeight="1" x14ac:dyDescent="0.2">
      <c r="A558" s="129">
        <f t="shared" si="80"/>
        <v>452</v>
      </c>
      <c r="B558" s="130">
        <f t="shared" si="80"/>
        <v>3</v>
      </c>
      <c r="C558" s="131" t="s">
        <v>932</v>
      </c>
      <c r="D558" s="229" t="s">
        <v>933</v>
      </c>
      <c r="E558" s="131" t="s">
        <v>104</v>
      </c>
      <c r="F558" s="132"/>
      <c r="G558" s="162"/>
      <c r="H558" s="133">
        <v>180000000</v>
      </c>
      <c r="I558" s="184"/>
      <c r="J558" s="211"/>
      <c r="K558" s="212"/>
      <c r="L558" s="8"/>
      <c r="M558" s="8"/>
      <c r="N558" s="8"/>
      <c r="O558" s="8"/>
      <c r="P558" s="8"/>
      <c r="Q558" s="8"/>
      <c r="R558" s="8"/>
    </row>
    <row r="559" spans="1:112" ht="22.5" customHeight="1" x14ac:dyDescent="0.2">
      <c r="A559" s="127">
        <f t="shared" si="80"/>
        <v>453</v>
      </c>
      <c r="B559" s="112">
        <f t="shared" si="80"/>
        <v>4</v>
      </c>
      <c r="C559" s="116" t="s">
        <v>934</v>
      </c>
      <c r="D559" s="227" t="s">
        <v>935</v>
      </c>
      <c r="E559" s="116" t="s">
        <v>104</v>
      </c>
      <c r="F559" s="118"/>
      <c r="G559" s="160"/>
      <c r="H559" s="120">
        <v>700000000</v>
      </c>
      <c r="I559" s="179"/>
      <c r="J559" s="211"/>
      <c r="K559" s="212"/>
      <c r="L559" s="8"/>
      <c r="M559" s="8"/>
      <c r="N559" s="8"/>
      <c r="O559" s="8"/>
      <c r="P559" s="8"/>
      <c r="Q559" s="8"/>
      <c r="R559" s="8"/>
    </row>
    <row r="560" spans="1:112" ht="24.75" customHeight="1" x14ac:dyDescent="0.2">
      <c r="A560" s="99">
        <f>A559+1</f>
        <v>454</v>
      </c>
      <c r="B560" s="100">
        <f>B559+1</f>
        <v>5</v>
      </c>
      <c r="C560" s="131" t="s">
        <v>769</v>
      </c>
      <c r="D560" s="229" t="s">
        <v>936</v>
      </c>
      <c r="E560" s="131" t="s">
        <v>891</v>
      </c>
      <c r="F560" s="215"/>
      <c r="G560" s="216"/>
      <c r="H560" s="133">
        <v>4134312</v>
      </c>
      <c r="I560" s="184"/>
      <c r="J560" s="74">
        <f>H563+F563</f>
        <v>1129138081</v>
      </c>
      <c r="K560" s="17"/>
    </row>
    <row r="561" spans="1:35" ht="15.95" customHeight="1" x14ac:dyDescent="0.2">
      <c r="A561" s="99">
        <f>A560+1</f>
        <v>455</v>
      </c>
      <c r="B561" s="100">
        <f>B560+1</f>
        <v>6</v>
      </c>
      <c r="C561" s="131" t="s">
        <v>937</v>
      </c>
      <c r="D561" s="229" t="s">
        <v>1196</v>
      </c>
      <c r="E561" s="131" t="s">
        <v>818</v>
      </c>
      <c r="F561" s="215"/>
      <c r="G561" s="216"/>
      <c r="H561" s="133"/>
      <c r="I561" s="184"/>
      <c r="J561" s="74"/>
      <c r="K561" s="17"/>
    </row>
    <row r="562" spans="1:35" ht="25.5" customHeight="1" x14ac:dyDescent="0.2">
      <c r="A562" s="99">
        <f>A561+1</f>
        <v>456</v>
      </c>
      <c r="B562" s="100">
        <v>7</v>
      </c>
      <c r="C562" s="131" t="s">
        <v>1188</v>
      </c>
      <c r="D562" s="229" t="s">
        <v>1197</v>
      </c>
      <c r="E562" s="131" t="s">
        <v>818</v>
      </c>
      <c r="F562" s="215"/>
      <c r="G562" s="216"/>
      <c r="H562" s="133"/>
      <c r="I562" s="184"/>
      <c r="J562" s="74"/>
      <c r="K562" s="17"/>
    </row>
    <row r="563" spans="1:35" ht="15.95" customHeight="1" x14ac:dyDescent="0.2">
      <c r="A563" s="16" t="s">
        <v>938</v>
      </c>
      <c r="B563" s="3"/>
      <c r="C563" s="2"/>
      <c r="D563" s="225"/>
      <c r="E563" s="2"/>
      <c r="F563" s="108">
        <f>F556+F557+F558+F559+F560+F561+F562</f>
        <v>177663769</v>
      </c>
      <c r="G563" s="157"/>
      <c r="H563" s="134">
        <f>SUM(H556:H562)</f>
        <v>951474312</v>
      </c>
      <c r="I563" s="185"/>
      <c r="J563" s="74">
        <f>+F565</f>
        <v>0</v>
      </c>
      <c r="K563" s="17">
        <f>+H565</f>
        <v>0</v>
      </c>
    </row>
    <row r="564" spans="1:35" s="14" customFormat="1" ht="6.75" customHeight="1" x14ac:dyDescent="0.2">
      <c r="C564" s="64"/>
      <c r="D564" s="226"/>
      <c r="E564" s="64"/>
      <c r="F564" s="15"/>
      <c r="G564" s="158"/>
      <c r="H564" s="13"/>
      <c r="I564" s="168"/>
      <c r="J564" s="206"/>
    </row>
    <row r="565" spans="1:35" ht="20.25" customHeight="1" x14ac:dyDescent="0.2">
      <c r="A565" s="251" t="s">
        <v>939</v>
      </c>
      <c r="B565" s="252"/>
      <c r="C565" s="252"/>
      <c r="D565" s="252"/>
      <c r="E565" s="252"/>
      <c r="F565" s="252"/>
      <c r="G565" s="252"/>
      <c r="H565" s="252"/>
      <c r="I565" s="253"/>
      <c r="J565" s="74"/>
      <c r="K565" s="17"/>
    </row>
    <row r="566" spans="1:35" ht="30.75" customHeight="1" x14ac:dyDescent="0.2">
      <c r="A566" s="14"/>
      <c r="B566" s="14"/>
      <c r="C566" s="14"/>
      <c r="D566" s="226"/>
      <c r="E566" s="14"/>
      <c r="F566" s="14"/>
      <c r="G566" s="168"/>
      <c r="H566" s="14"/>
      <c r="I566" s="168"/>
      <c r="J566" s="74"/>
      <c r="K566" s="17"/>
    </row>
    <row r="567" spans="1:35" ht="21" customHeight="1" x14ac:dyDescent="0.2">
      <c r="A567" s="135">
        <f>A562+1</f>
        <v>457</v>
      </c>
      <c r="B567" s="136">
        <v>1</v>
      </c>
      <c r="C567" s="73" t="s">
        <v>940</v>
      </c>
      <c r="D567" s="235" t="s">
        <v>941</v>
      </c>
      <c r="E567" s="73" t="s">
        <v>942</v>
      </c>
      <c r="F567" s="137"/>
      <c r="G567" s="171"/>
      <c r="H567" s="54"/>
      <c r="I567" s="178"/>
      <c r="J567" s="74"/>
      <c r="K567" s="17"/>
    </row>
    <row r="568" spans="1:35" ht="24.75" customHeight="1" x14ac:dyDescent="0.2">
      <c r="A568" s="135">
        <f>A567+1</f>
        <v>458</v>
      </c>
      <c r="B568" s="136">
        <v>2</v>
      </c>
      <c r="C568" s="73" t="s">
        <v>943</v>
      </c>
      <c r="D568" s="235" t="s">
        <v>1187</v>
      </c>
      <c r="E568" s="73" t="s">
        <v>545</v>
      </c>
      <c r="F568" s="137"/>
      <c r="G568" s="171"/>
      <c r="H568" s="54"/>
      <c r="I568" s="178"/>
      <c r="J568" s="74">
        <f>+F570</f>
        <v>0</v>
      </c>
      <c r="K568" s="17">
        <f>+H570</f>
        <v>0</v>
      </c>
    </row>
    <row r="569" spans="1:35" ht="10.5" customHeight="1" x14ac:dyDescent="0.2">
      <c r="A569" s="14"/>
      <c r="B569" s="14"/>
      <c r="C569" s="64"/>
      <c r="D569" s="226"/>
      <c r="E569" s="64"/>
      <c r="F569" s="15"/>
      <c r="G569" s="158"/>
      <c r="H569" s="13"/>
      <c r="I569" s="168"/>
      <c r="J569" s="74">
        <f>SUM(J16:J568)</f>
        <v>87068727694.41478</v>
      </c>
      <c r="K569" s="17">
        <f>SUM(K16:K568)</f>
        <v>21223833175.341309</v>
      </c>
    </row>
    <row r="570" spans="1:35" s="21" customFormat="1" ht="15.95" customHeight="1" x14ac:dyDescent="0.2">
      <c r="A570" s="93" t="s">
        <v>944</v>
      </c>
      <c r="B570" s="58"/>
      <c r="C570" s="67"/>
      <c r="D570" s="236"/>
      <c r="E570" s="69"/>
      <c r="F570" s="59"/>
      <c r="G570" s="170"/>
      <c r="H570" s="60"/>
      <c r="I570" s="166"/>
      <c r="J570" s="203"/>
      <c r="K570" s="19"/>
      <c r="L570" s="19"/>
      <c r="M570" s="19"/>
      <c r="N570" s="19"/>
      <c r="O570" s="19"/>
      <c r="P570" s="19"/>
      <c r="Q570" s="19"/>
      <c r="R570" s="19"/>
      <c r="S570" s="20"/>
      <c r="T570" s="20"/>
      <c r="U570" s="20"/>
      <c r="V570" s="20"/>
      <c r="W570" s="20"/>
      <c r="X570" s="20"/>
      <c r="Y570" s="20"/>
      <c r="Z570" s="20"/>
      <c r="AA570" s="20"/>
      <c r="AB570" s="20"/>
      <c r="AC570" s="20"/>
      <c r="AD570" s="20"/>
      <c r="AE570" s="20"/>
      <c r="AF570" s="20"/>
      <c r="AG570" s="20"/>
      <c r="AH570" s="20"/>
      <c r="AI570" s="20"/>
    </row>
    <row r="571" spans="1:35" s="21" customFormat="1" ht="15.95" customHeight="1" x14ac:dyDescent="0.2">
      <c r="A571" s="12"/>
      <c r="B571" s="12"/>
      <c r="C571" s="65"/>
      <c r="D571" s="234"/>
      <c r="E571" s="65"/>
      <c r="F571" s="59"/>
      <c r="G571" s="170"/>
      <c r="H571" s="59"/>
      <c r="I571" s="192"/>
      <c r="J571" s="207"/>
      <c r="K571" s="19"/>
      <c r="L571" s="19"/>
      <c r="M571" s="19"/>
      <c r="N571" s="19"/>
      <c r="O571" s="19"/>
      <c r="P571" s="19"/>
      <c r="Q571" s="19"/>
      <c r="R571" s="19"/>
      <c r="S571" s="20"/>
      <c r="T571" s="20"/>
      <c r="U571" s="20"/>
      <c r="V571" s="20"/>
      <c r="W571" s="20"/>
      <c r="X571" s="20"/>
      <c r="Y571" s="20"/>
      <c r="Z571" s="20"/>
      <c r="AA571" s="20"/>
      <c r="AB571" s="20"/>
      <c r="AC571" s="20"/>
      <c r="AD571" s="20"/>
      <c r="AE571" s="20"/>
      <c r="AF571" s="20"/>
      <c r="AG571" s="20"/>
      <c r="AH571" s="20"/>
      <c r="AI571" s="20"/>
    </row>
    <row r="572" spans="1:35" s="21" customFormat="1" ht="15.95" customHeight="1" x14ac:dyDescent="0.2">
      <c r="A572" s="92" t="s">
        <v>945</v>
      </c>
      <c r="B572" s="92"/>
      <c r="C572" s="91"/>
      <c r="D572" s="233"/>
      <c r="E572" s="91"/>
      <c r="F572" s="94">
        <f>+F18+F352</f>
        <v>37693847</v>
      </c>
      <c r="G572" s="172"/>
      <c r="H572" s="95">
        <f>+H352</f>
        <v>179000000</v>
      </c>
      <c r="I572" s="193"/>
      <c r="J572" s="218"/>
      <c r="K572" s="19"/>
      <c r="L572" s="19"/>
      <c r="M572" s="19"/>
      <c r="N572" s="19"/>
      <c r="O572" s="19"/>
      <c r="P572" s="19"/>
      <c r="Q572" s="19"/>
      <c r="R572" s="19"/>
      <c r="S572" s="20"/>
      <c r="T572" s="20"/>
      <c r="U572" s="20"/>
      <c r="V572" s="20"/>
      <c r="W572" s="20"/>
      <c r="X572" s="20"/>
      <c r="Y572" s="20"/>
      <c r="Z572" s="20"/>
      <c r="AA572" s="20"/>
      <c r="AB572" s="20"/>
      <c r="AC572" s="20"/>
      <c r="AD572" s="20"/>
      <c r="AE572" s="20"/>
      <c r="AF572" s="20"/>
      <c r="AG572" s="20"/>
      <c r="AH572" s="20"/>
      <c r="AI572" s="20"/>
    </row>
    <row r="573" spans="1:35" ht="15" x14ac:dyDescent="0.2">
      <c r="A573" s="92" t="s">
        <v>946</v>
      </c>
      <c r="B573" s="92"/>
      <c r="C573" s="91"/>
      <c r="D573" s="233"/>
      <c r="E573" s="91"/>
      <c r="F573" s="94">
        <f>F339+F343+F470+F479+F503+F511+F530+F552+F563</f>
        <v>12959763633.030535</v>
      </c>
      <c r="G573" s="94"/>
      <c r="H573" s="94">
        <f>H339+H470+H479+H503+H511+H530+H552+H563</f>
        <v>65636509299.442284</v>
      </c>
      <c r="I573" s="193"/>
      <c r="J573" s="208"/>
    </row>
    <row r="574" spans="1:35" ht="15" x14ac:dyDescent="0.2">
      <c r="A574" s="92" t="s">
        <v>947</v>
      </c>
      <c r="B574" s="92"/>
      <c r="C574" s="91"/>
      <c r="D574" s="233"/>
      <c r="E574" s="91"/>
      <c r="F574" s="94">
        <f>F573+F572</f>
        <v>12997457480.030535</v>
      </c>
      <c r="G574" s="172"/>
      <c r="H574" s="94">
        <f>H573+H572</f>
        <v>65815509299.442284</v>
      </c>
      <c r="I574" s="193"/>
      <c r="J574" s="208"/>
    </row>
    <row r="575" spans="1:35" ht="32.25" customHeight="1" x14ac:dyDescent="0.2">
      <c r="F575" s="196"/>
      <c r="G575" s="153"/>
      <c r="H575" s="9"/>
    </row>
    <row r="576" spans="1:35" ht="30.75" customHeight="1" x14ac:dyDescent="0.2">
      <c r="A576" s="84" t="s">
        <v>948</v>
      </c>
      <c r="B576" s="85"/>
      <c r="E576" s="194"/>
      <c r="F576" s="78"/>
      <c r="G576" s="152"/>
      <c r="H576" s="78"/>
    </row>
    <row r="577" spans="1:9" ht="41.25" customHeight="1" x14ac:dyDescent="0.2">
      <c r="A577" s="151" t="s">
        <v>949</v>
      </c>
      <c r="B577" s="245" t="s">
        <v>950</v>
      </c>
      <c r="C577" s="245"/>
      <c r="D577" s="245"/>
      <c r="E577" s="245"/>
      <c r="F577" s="245"/>
      <c r="G577" s="245"/>
      <c r="H577" s="245"/>
      <c r="I577" s="245"/>
    </row>
    <row r="578" spans="1:9" ht="11.25" customHeight="1" x14ac:dyDescent="0.2">
      <c r="A578" s="82" t="s">
        <v>951</v>
      </c>
      <c r="B578" s="245" t="s">
        <v>952</v>
      </c>
      <c r="C578" s="245"/>
      <c r="D578" s="245"/>
      <c r="E578" s="245"/>
      <c r="F578" s="245"/>
      <c r="G578" s="245"/>
      <c r="H578" s="245"/>
      <c r="I578" s="245"/>
    </row>
    <row r="579" spans="1:9" ht="23.25" customHeight="1" x14ac:dyDescent="0.2">
      <c r="A579" s="82" t="s">
        <v>953</v>
      </c>
      <c r="B579" s="245" t="s">
        <v>954</v>
      </c>
      <c r="C579" s="245"/>
      <c r="D579" s="245"/>
      <c r="E579" s="245"/>
      <c r="F579" s="245"/>
      <c r="G579" s="245"/>
      <c r="H579" s="245"/>
      <c r="I579" s="245"/>
    </row>
    <row r="580" spans="1:9" ht="23.25" customHeight="1" x14ac:dyDescent="0.2">
      <c r="A580" s="86" t="s">
        <v>40</v>
      </c>
      <c r="B580" s="245" t="s">
        <v>955</v>
      </c>
      <c r="C580" s="245"/>
      <c r="D580" s="245"/>
      <c r="E580" s="245"/>
      <c r="F580" s="245"/>
      <c r="G580" s="245"/>
      <c r="H580" s="245"/>
      <c r="I580" s="245"/>
    </row>
    <row r="581" spans="1:9" ht="29.25" customHeight="1" x14ac:dyDescent="0.2">
      <c r="A581" s="87" t="s">
        <v>956</v>
      </c>
      <c r="B581" s="245" t="s">
        <v>957</v>
      </c>
      <c r="C581" s="245"/>
      <c r="D581" s="245"/>
      <c r="E581" s="245"/>
      <c r="F581" s="245"/>
      <c r="G581" s="245"/>
      <c r="H581" s="245"/>
      <c r="I581" s="245"/>
    </row>
    <row r="582" spans="1:9" ht="19.5" customHeight="1" x14ac:dyDescent="0.2">
      <c r="A582" s="87" t="s">
        <v>115</v>
      </c>
      <c r="B582" s="246" t="s">
        <v>958</v>
      </c>
      <c r="C582" s="246"/>
      <c r="D582" s="246"/>
      <c r="E582" s="246"/>
      <c r="F582" s="246"/>
      <c r="G582" s="246"/>
      <c r="H582" s="246"/>
      <c r="I582" s="246"/>
    </row>
    <row r="583" spans="1:9" ht="15.75" customHeight="1" x14ac:dyDescent="0.2">
      <c r="A583" s="87" t="s">
        <v>959</v>
      </c>
      <c r="B583" s="246" t="s">
        <v>960</v>
      </c>
      <c r="C583" s="246"/>
      <c r="D583" s="246"/>
      <c r="E583" s="246"/>
      <c r="F583" s="246"/>
      <c r="G583" s="246"/>
      <c r="H583" s="246"/>
      <c r="I583" s="246"/>
    </row>
    <row r="584" spans="1:9" ht="19.5" customHeight="1" x14ac:dyDescent="0.2">
      <c r="A584" s="87" t="s">
        <v>961</v>
      </c>
      <c r="B584" s="246" t="s">
        <v>962</v>
      </c>
      <c r="C584" s="246"/>
      <c r="D584" s="246"/>
      <c r="E584" s="246"/>
      <c r="F584" s="246"/>
      <c r="G584" s="246"/>
      <c r="H584" s="246"/>
    </row>
    <row r="585" spans="1:9" ht="25.5" customHeight="1" x14ac:dyDescent="0.2">
      <c r="A585" s="87" t="s">
        <v>963</v>
      </c>
      <c r="B585" s="246" t="s">
        <v>964</v>
      </c>
      <c r="C585" s="246"/>
      <c r="D585" s="246"/>
      <c r="E585" s="246"/>
      <c r="F585" s="246"/>
      <c r="G585" s="246"/>
      <c r="H585" s="246"/>
    </row>
    <row r="586" spans="1:9" ht="20.25" customHeight="1" x14ac:dyDescent="0.2">
      <c r="A586" s="86" t="s">
        <v>40</v>
      </c>
      <c r="B586" s="246" t="s">
        <v>955</v>
      </c>
      <c r="C586" s="246"/>
      <c r="D586" s="246"/>
      <c r="E586" s="246"/>
      <c r="F586" s="246"/>
      <c r="G586" s="246"/>
      <c r="H586" s="246"/>
    </row>
    <row r="587" spans="1:9" ht="24" customHeight="1" x14ac:dyDescent="0.2">
      <c r="A587" s="87" t="s">
        <v>956</v>
      </c>
      <c r="B587" s="245" t="s">
        <v>957</v>
      </c>
      <c r="C587" s="245"/>
      <c r="D587" s="245"/>
      <c r="E587" s="245"/>
      <c r="F587" s="245"/>
      <c r="G587" s="245"/>
      <c r="H587" s="245"/>
      <c r="I587" s="245"/>
    </row>
    <row r="588" spans="1:9" ht="19.5" customHeight="1" x14ac:dyDescent="0.2">
      <c r="A588" s="87" t="s">
        <v>115</v>
      </c>
      <c r="B588" s="246" t="s">
        <v>958</v>
      </c>
      <c r="C588" s="246"/>
      <c r="D588" s="246"/>
      <c r="E588" s="246"/>
      <c r="F588" s="246"/>
      <c r="G588" s="246"/>
      <c r="H588" s="246"/>
    </row>
    <row r="589" spans="1:9" ht="21.75" customHeight="1" x14ac:dyDescent="0.2">
      <c r="A589" s="87" t="s">
        <v>959</v>
      </c>
      <c r="B589" s="246" t="s">
        <v>960</v>
      </c>
      <c r="C589" s="246"/>
      <c r="D589" s="246"/>
      <c r="E589" s="246"/>
      <c r="F589" s="246"/>
      <c r="G589" s="246"/>
      <c r="H589" s="246"/>
      <c r="I589" s="246"/>
    </row>
    <row r="590" spans="1:9" ht="21.75" customHeight="1" x14ac:dyDescent="0.2">
      <c r="A590" s="87" t="s">
        <v>961</v>
      </c>
      <c r="B590" s="246" t="s">
        <v>962</v>
      </c>
      <c r="C590" s="246"/>
      <c r="D590" s="246"/>
      <c r="E590" s="246"/>
      <c r="F590" s="246"/>
      <c r="G590" s="246"/>
      <c r="H590" s="246"/>
    </row>
    <row r="591" spans="1:9" ht="21.75" customHeight="1" x14ac:dyDescent="0.2">
      <c r="A591" s="87" t="s">
        <v>963</v>
      </c>
      <c r="B591" s="246" t="s">
        <v>964</v>
      </c>
      <c r="C591" s="246"/>
      <c r="D591" s="246"/>
      <c r="E591" s="246"/>
      <c r="F591" s="246"/>
      <c r="G591" s="246"/>
      <c r="H591" s="246"/>
    </row>
    <row r="592" spans="1:9" ht="21.75" customHeight="1" x14ac:dyDescent="0.2">
      <c r="A592" s="88" t="s">
        <v>481</v>
      </c>
      <c r="B592" s="246" t="s">
        <v>965</v>
      </c>
      <c r="C592" s="246"/>
      <c r="D592" s="246"/>
      <c r="E592" s="246"/>
      <c r="F592" s="246"/>
      <c r="G592" s="246"/>
      <c r="H592" s="246"/>
    </row>
    <row r="593" spans="1:9" ht="21.75" customHeight="1" x14ac:dyDescent="0.2">
      <c r="A593" s="88" t="s">
        <v>482</v>
      </c>
      <c r="B593" s="246" t="s">
        <v>966</v>
      </c>
      <c r="C593" s="246"/>
      <c r="D593" s="246"/>
      <c r="E593" s="246"/>
      <c r="F593" s="246"/>
      <c r="G593" s="246"/>
      <c r="H593" s="246"/>
    </row>
    <row r="594" spans="1:9" ht="24.75" customHeight="1" x14ac:dyDescent="0.2">
      <c r="A594" s="88" t="s">
        <v>967</v>
      </c>
      <c r="B594" s="246" t="s">
        <v>968</v>
      </c>
      <c r="C594" s="246"/>
      <c r="D594" s="246"/>
      <c r="E594" s="246"/>
      <c r="F594" s="246"/>
      <c r="G594" s="246"/>
      <c r="H594" s="246"/>
    </row>
    <row r="595" spans="1:9" ht="18" customHeight="1" x14ac:dyDescent="0.2">
      <c r="A595" s="88" t="s">
        <v>969</v>
      </c>
      <c r="B595" s="246" t="s">
        <v>970</v>
      </c>
      <c r="C595" s="246"/>
      <c r="D595" s="246"/>
      <c r="E595" s="246"/>
      <c r="F595" s="246"/>
      <c r="G595" s="246"/>
      <c r="H595" s="246"/>
    </row>
    <row r="596" spans="1:9" ht="61.5" customHeight="1" x14ac:dyDescent="0.2">
      <c r="A596" s="88" t="s">
        <v>449</v>
      </c>
      <c r="B596" s="245" t="s">
        <v>971</v>
      </c>
      <c r="C596" s="245"/>
      <c r="D596" s="245"/>
      <c r="E596" s="245"/>
      <c r="F596" s="245"/>
      <c r="G596" s="245"/>
      <c r="H596" s="245"/>
      <c r="I596" s="245"/>
    </row>
    <row r="597" spans="1:9" ht="18.75" customHeight="1" x14ac:dyDescent="0.2">
      <c r="A597" s="88" t="s">
        <v>450</v>
      </c>
      <c r="B597" s="246" t="s">
        <v>972</v>
      </c>
      <c r="C597" s="246"/>
      <c r="D597" s="246"/>
      <c r="E597" s="246"/>
      <c r="F597" s="246"/>
      <c r="G597" s="246"/>
      <c r="H597" s="246"/>
      <c r="I597" s="173"/>
    </row>
    <row r="598" spans="1:9" ht="18.75" customHeight="1" x14ac:dyDescent="0.2">
      <c r="A598" s="88" t="s">
        <v>709</v>
      </c>
      <c r="B598" s="246" t="s">
        <v>973</v>
      </c>
      <c r="C598" s="246"/>
      <c r="D598" s="246"/>
      <c r="E598" s="246"/>
      <c r="F598" s="246"/>
      <c r="G598" s="246"/>
      <c r="H598" s="246"/>
      <c r="I598" s="173"/>
    </row>
    <row r="599" spans="1:9" ht="18.75" customHeight="1" x14ac:dyDescent="0.2">
      <c r="A599" s="88" t="s">
        <v>714</v>
      </c>
      <c r="B599" s="246" t="s">
        <v>974</v>
      </c>
      <c r="C599" s="246"/>
      <c r="D599" s="246"/>
      <c r="E599" s="246"/>
      <c r="F599" s="246"/>
      <c r="G599" s="246"/>
      <c r="H599" s="246"/>
      <c r="I599" s="173"/>
    </row>
    <row r="600" spans="1:9" ht="41.25" customHeight="1" x14ac:dyDescent="0.2">
      <c r="A600" s="88" t="s">
        <v>641</v>
      </c>
      <c r="B600" s="246" t="s">
        <v>975</v>
      </c>
      <c r="C600" s="246"/>
      <c r="D600" s="246"/>
      <c r="E600" s="246"/>
      <c r="F600" s="246"/>
      <c r="G600" s="246"/>
      <c r="H600" s="246"/>
      <c r="I600" s="173"/>
    </row>
    <row r="601" spans="1:9" ht="39" customHeight="1" x14ac:dyDescent="0.2">
      <c r="A601" s="88" t="s">
        <v>704</v>
      </c>
      <c r="B601" s="246" t="s">
        <v>976</v>
      </c>
      <c r="C601" s="246"/>
      <c r="D601" s="246"/>
      <c r="E601" s="246"/>
      <c r="F601" s="246"/>
      <c r="G601" s="246"/>
      <c r="H601" s="246"/>
      <c r="I601" s="173"/>
    </row>
    <row r="602" spans="1:9" ht="60.75" customHeight="1" x14ac:dyDescent="0.2">
      <c r="A602" s="88" t="s">
        <v>725</v>
      </c>
      <c r="B602" s="246" t="s">
        <v>977</v>
      </c>
      <c r="C602" s="246"/>
      <c r="D602" s="246"/>
      <c r="E602" s="246"/>
      <c r="F602" s="246"/>
      <c r="G602" s="246"/>
      <c r="H602" s="246"/>
      <c r="I602" s="173"/>
    </row>
    <row r="603" spans="1:9" ht="59.25" customHeight="1" x14ac:dyDescent="0.2">
      <c r="A603" s="88" t="s">
        <v>756</v>
      </c>
      <c r="B603" s="246" t="s">
        <v>978</v>
      </c>
      <c r="C603" s="246"/>
      <c r="D603" s="246"/>
      <c r="E603" s="246"/>
      <c r="F603" s="246"/>
      <c r="G603" s="246"/>
      <c r="H603" s="246"/>
      <c r="I603" s="173"/>
    </row>
    <row r="604" spans="1:9" ht="22.5" customHeight="1" x14ac:dyDescent="0.2">
      <c r="A604" s="88" t="s">
        <v>759</v>
      </c>
      <c r="B604" s="246" t="s">
        <v>979</v>
      </c>
      <c r="C604" s="246"/>
      <c r="D604" s="246"/>
      <c r="E604" s="246"/>
      <c r="F604" s="246"/>
      <c r="G604" s="246"/>
      <c r="H604" s="246"/>
      <c r="I604" s="173"/>
    </row>
    <row r="605" spans="1:9" ht="22.5" customHeight="1" x14ac:dyDescent="0.2">
      <c r="A605" s="88" t="s">
        <v>762</v>
      </c>
      <c r="B605" s="246" t="s">
        <v>980</v>
      </c>
      <c r="C605" s="246"/>
      <c r="D605" s="246"/>
      <c r="E605" s="246"/>
      <c r="F605" s="246"/>
      <c r="G605" s="246"/>
      <c r="H605" s="246"/>
      <c r="I605" s="173"/>
    </row>
    <row r="606" spans="1:9" ht="22.5" customHeight="1" x14ac:dyDescent="0.2">
      <c r="A606" s="88" t="s">
        <v>732</v>
      </c>
      <c r="B606" s="246" t="s">
        <v>981</v>
      </c>
      <c r="C606" s="246"/>
      <c r="D606" s="246"/>
      <c r="E606" s="246"/>
      <c r="F606" s="246"/>
      <c r="G606" s="246"/>
      <c r="H606" s="246"/>
      <c r="I606" s="173"/>
    </row>
    <row r="607" spans="1:9" ht="20.25" customHeight="1" x14ac:dyDescent="0.2">
      <c r="A607" s="88" t="s">
        <v>791</v>
      </c>
      <c r="B607" s="246" t="s">
        <v>1182</v>
      </c>
      <c r="C607" s="246"/>
      <c r="D607" s="246"/>
      <c r="E607" s="246"/>
      <c r="F607" s="246"/>
      <c r="G607" s="246"/>
      <c r="H607" s="246"/>
      <c r="I607" s="173"/>
    </row>
    <row r="608" spans="1:9" ht="49.5" customHeight="1" x14ac:dyDescent="0.2">
      <c r="A608" s="88" t="s">
        <v>793</v>
      </c>
      <c r="B608" s="246" t="s">
        <v>1183</v>
      </c>
      <c r="C608" s="246"/>
      <c r="D608" s="246"/>
      <c r="E608" s="246"/>
      <c r="F608" s="246"/>
      <c r="G608" s="246"/>
      <c r="H608" s="246"/>
      <c r="I608" s="173"/>
    </row>
    <row r="609" spans="1:10" ht="34.15" customHeight="1" x14ac:dyDescent="0.2">
      <c r="A609" s="87" t="s">
        <v>800</v>
      </c>
      <c r="B609" s="246" t="s">
        <v>982</v>
      </c>
      <c r="C609" s="246"/>
      <c r="D609" s="246"/>
      <c r="E609" s="246"/>
      <c r="F609" s="246"/>
      <c r="G609" s="246"/>
      <c r="H609" s="246"/>
      <c r="I609" s="246"/>
    </row>
    <row r="610" spans="1:10" ht="34.15" customHeight="1" x14ac:dyDescent="0.2">
      <c r="A610" s="87" t="s">
        <v>803</v>
      </c>
      <c r="B610" s="246" t="s">
        <v>983</v>
      </c>
      <c r="C610" s="246"/>
      <c r="D610" s="246"/>
      <c r="E610" s="246"/>
      <c r="F610" s="246"/>
      <c r="G610" s="246"/>
      <c r="H610" s="246"/>
      <c r="I610" s="246"/>
    </row>
    <row r="611" spans="1:10" ht="32.450000000000003" customHeight="1" x14ac:dyDescent="0.2">
      <c r="A611" s="87" t="s">
        <v>806</v>
      </c>
      <c r="B611" s="246" t="s">
        <v>984</v>
      </c>
      <c r="C611" s="246"/>
      <c r="D611" s="246"/>
      <c r="E611" s="246"/>
      <c r="F611" s="246"/>
      <c r="G611" s="246"/>
      <c r="H611" s="246"/>
      <c r="I611" s="246"/>
    </row>
    <row r="612" spans="1:10" ht="32.450000000000003" customHeight="1" x14ac:dyDescent="0.2">
      <c r="A612" s="87" t="s">
        <v>809</v>
      </c>
      <c r="B612" s="246" t="s">
        <v>985</v>
      </c>
      <c r="C612" s="246"/>
      <c r="D612" s="246"/>
      <c r="E612" s="246"/>
      <c r="F612" s="246"/>
      <c r="G612" s="246"/>
      <c r="H612" s="246"/>
      <c r="I612" s="246"/>
      <c r="J612" s="219"/>
    </row>
    <row r="613" spans="1:10" ht="32.450000000000003" customHeight="1" x14ac:dyDescent="0.2">
      <c r="A613" s="87" t="s">
        <v>812</v>
      </c>
      <c r="B613" s="246" t="s">
        <v>986</v>
      </c>
      <c r="C613" s="246"/>
      <c r="D613" s="246"/>
      <c r="E613" s="246"/>
      <c r="F613" s="246"/>
      <c r="G613" s="246"/>
      <c r="H613" s="246"/>
      <c r="I613" s="246"/>
      <c r="J613" s="219"/>
    </row>
    <row r="614" spans="1:10" ht="45" customHeight="1" x14ac:dyDescent="0.2">
      <c r="A614" s="87" t="s">
        <v>815</v>
      </c>
      <c r="B614" s="246" t="s">
        <v>987</v>
      </c>
      <c r="C614" s="246"/>
      <c r="D614" s="246"/>
      <c r="E614" s="246"/>
      <c r="F614" s="246"/>
      <c r="G614" s="246"/>
      <c r="H614" s="246"/>
      <c r="I614" s="246"/>
    </row>
    <row r="615" spans="1:10" ht="62.25" customHeight="1" x14ac:dyDescent="0.2">
      <c r="A615" s="87" t="s">
        <v>819</v>
      </c>
      <c r="B615" s="246" t="s">
        <v>988</v>
      </c>
      <c r="C615" s="246"/>
      <c r="D615" s="246"/>
      <c r="E615" s="246"/>
      <c r="F615" s="246"/>
      <c r="G615" s="246"/>
      <c r="H615" s="246"/>
      <c r="I615" s="246"/>
    </row>
    <row r="616" spans="1:10" ht="97.5" customHeight="1" x14ac:dyDescent="0.2">
      <c r="A616" s="87" t="s">
        <v>1155</v>
      </c>
      <c r="B616" s="246" t="s">
        <v>1156</v>
      </c>
      <c r="C616" s="246"/>
      <c r="D616" s="246"/>
      <c r="E616" s="246"/>
      <c r="F616" s="246"/>
      <c r="G616" s="246"/>
      <c r="H616" s="246"/>
      <c r="I616" s="246"/>
    </row>
    <row r="617" spans="1:10" ht="47.25" customHeight="1" x14ac:dyDescent="0.2">
      <c r="A617" s="87" t="s">
        <v>1159</v>
      </c>
      <c r="B617" s="246" t="s">
        <v>1160</v>
      </c>
      <c r="C617" s="246"/>
      <c r="D617" s="246"/>
      <c r="E617" s="246"/>
      <c r="F617" s="246"/>
      <c r="G617" s="246"/>
      <c r="H617" s="246"/>
      <c r="I617" s="246"/>
    </row>
    <row r="618" spans="1:10" ht="57.75" customHeight="1" x14ac:dyDescent="0.2">
      <c r="A618" s="87" t="s">
        <v>1166</v>
      </c>
      <c r="B618" s="246" t="s">
        <v>1167</v>
      </c>
      <c r="C618" s="246"/>
      <c r="D618" s="246"/>
      <c r="E618" s="246"/>
      <c r="F618" s="246"/>
      <c r="G618" s="246"/>
      <c r="H618" s="246"/>
      <c r="I618" s="246"/>
      <c r="J618" s="246"/>
    </row>
    <row r="619" spans="1:10" ht="91.5" customHeight="1" x14ac:dyDescent="0.2">
      <c r="A619" s="87" t="s">
        <v>1173</v>
      </c>
      <c r="B619" s="246" t="s">
        <v>1175</v>
      </c>
      <c r="C619" s="246"/>
      <c r="D619" s="246"/>
      <c r="E619" s="246"/>
      <c r="F619" s="246"/>
      <c r="G619" s="246"/>
      <c r="H619" s="246"/>
      <c r="I619" s="246"/>
      <c r="J619" s="246"/>
    </row>
    <row r="620" spans="1:10" ht="55.5" customHeight="1" x14ac:dyDescent="0.2">
      <c r="A620" s="87" t="s">
        <v>1179</v>
      </c>
      <c r="B620" s="246" t="s">
        <v>1181</v>
      </c>
      <c r="C620" s="246"/>
      <c r="D620" s="246"/>
      <c r="E620" s="246"/>
      <c r="F620" s="246"/>
      <c r="G620" s="246"/>
      <c r="H620" s="246"/>
      <c r="I620" s="246"/>
      <c r="J620" s="246"/>
    </row>
    <row r="621" spans="1:10" ht="64.5" customHeight="1" x14ac:dyDescent="0.2">
      <c r="A621" s="87" t="s">
        <v>1193</v>
      </c>
      <c r="B621" s="246" t="s">
        <v>1194</v>
      </c>
      <c r="C621" s="246"/>
      <c r="D621" s="246"/>
      <c r="E621" s="246"/>
      <c r="F621" s="246"/>
      <c r="G621" s="246"/>
      <c r="H621" s="246"/>
      <c r="I621" s="246"/>
      <c r="J621" s="246"/>
    </row>
    <row r="622" spans="1:10" ht="26.25" customHeight="1" x14ac:dyDescent="0.2">
      <c r="A622" s="87">
        <v>1</v>
      </c>
      <c r="B622" s="246" t="s">
        <v>989</v>
      </c>
      <c r="C622" s="246"/>
      <c r="D622" s="246"/>
      <c r="E622" s="246"/>
      <c r="F622" s="246"/>
      <c r="G622" s="246"/>
      <c r="H622" s="246"/>
      <c r="I622" s="246"/>
    </row>
    <row r="623" spans="1:10" ht="26.25" customHeight="1" x14ac:dyDescent="0.2">
      <c r="A623" s="87">
        <v>2</v>
      </c>
      <c r="B623" s="246" t="s">
        <v>990</v>
      </c>
      <c r="C623" s="246"/>
      <c r="D623" s="246"/>
      <c r="E623" s="246"/>
      <c r="F623" s="246"/>
      <c r="G623" s="246"/>
      <c r="H623" s="246"/>
      <c r="I623" s="246"/>
    </row>
    <row r="624" spans="1:10" ht="27" customHeight="1" x14ac:dyDescent="0.2">
      <c r="A624" s="87">
        <v>4</v>
      </c>
      <c r="B624" s="245" t="s">
        <v>991</v>
      </c>
      <c r="C624" s="245"/>
      <c r="D624" s="245"/>
      <c r="E624" s="245"/>
      <c r="F624" s="245"/>
      <c r="G624" s="245"/>
      <c r="H624" s="245"/>
      <c r="I624" s="245"/>
    </row>
    <row r="625" spans="1:9" ht="21" customHeight="1" x14ac:dyDescent="0.2">
      <c r="A625" s="87">
        <v>5</v>
      </c>
      <c r="B625" s="245" t="s">
        <v>992</v>
      </c>
      <c r="C625" s="245"/>
      <c r="D625" s="245"/>
      <c r="E625" s="245"/>
      <c r="F625" s="245"/>
      <c r="G625" s="245"/>
      <c r="H625" s="245"/>
      <c r="I625" s="245"/>
    </row>
    <row r="626" spans="1:9" ht="23.25" customHeight="1" x14ac:dyDescent="0.2">
      <c r="A626" s="87"/>
      <c r="B626" s="245" t="s">
        <v>993</v>
      </c>
      <c r="C626" s="245"/>
      <c r="D626" s="245"/>
      <c r="E626" s="245"/>
      <c r="F626" s="245"/>
      <c r="G626" s="245"/>
      <c r="H626" s="245"/>
      <c r="I626" s="245"/>
    </row>
    <row r="627" spans="1:9" ht="23.25" customHeight="1" x14ac:dyDescent="0.2">
      <c r="A627" s="87">
        <v>6</v>
      </c>
      <c r="B627" s="245" t="s">
        <v>994</v>
      </c>
      <c r="C627" s="245"/>
      <c r="D627" s="245"/>
      <c r="E627" s="245"/>
      <c r="F627" s="245"/>
      <c r="G627" s="245"/>
      <c r="H627" s="245"/>
      <c r="I627" s="245"/>
    </row>
    <row r="628" spans="1:9" ht="13.5" x14ac:dyDescent="0.2">
      <c r="A628" s="87"/>
      <c r="B628" s="245" t="s">
        <v>995</v>
      </c>
      <c r="C628" s="245"/>
      <c r="D628" s="245"/>
      <c r="E628" s="245"/>
      <c r="F628" s="245"/>
      <c r="G628" s="245"/>
      <c r="H628" s="245"/>
      <c r="I628" s="245"/>
    </row>
    <row r="629" spans="1:9" ht="25.5" customHeight="1" x14ac:dyDescent="0.2">
      <c r="A629" s="87">
        <v>7</v>
      </c>
      <c r="B629" s="245" t="s">
        <v>996</v>
      </c>
      <c r="C629" s="245"/>
      <c r="D629" s="245"/>
      <c r="E629" s="245"/>
      <c r="F629" s="245"/>
      <c r="G629" s="245"/>
      <c r="H629" s="245"/>
      <c r="I629" s="245"/>
    </row>
    <row r="630" spans="1:9" ht="13.5" x14ac:dyDescent="0.2">
      <c r="A630" s="87">
        <v>8</v>
      </c>
      <c r="B630" s="245" t="s">
        <v>997</v>
      </c>
      <c r="C630" s="245"/>
      <c r="D630" s="245"/>
      <c r="E630" s="245"/>
      <c r="F630" s="245"/>
      <c r="G630" s="245"/>
      <c r="H630" s="245"/>
      <c r="I630" s="245"/>
    </row>
    <row r="631" spans="1:9" ht="24.75" customHeight="1" x14ac:dyDescent="0.2">
      <c r="A631" s="87"/>
      <c r="B631" s="245" t="s">
        <v>998</v>
      </c>
      <c r="C631" s="245"/>
      <c r="D631" s="245"/>
      <c r="E631" s="245"/>
      <c r="F631" s="245"/>
      <c r="G631" s="245"/>
      <c r="H631" s="245"/>
      <c r="I631" s="245"/>
    </row>
    <row r="632" spans="1:9" ht="24.75" customHeight="1" x14ac:dyDescent="0.2">
      <c r="A632" s="87"/>
      <c r="B632" s="245" t="s">
        <v>999</v>
      </c>
      <c r="C632" s="245"/>
      <c r="D632" s="245"/>
      <c r="E632" s="245"/>
      <c r="F632" s="245"/>
      <c r="G632" s="245"/>
      <c r="H632" s="245"/>
      <c r="I632" s="245"/>
    </row>
    <row r="633" spans="1:9" ht="13.5" x14ac:dyDescent="0.2">
      <c r="A633" s="87">
        <v>9</v>
      </c>
      <c r="B633" s="245" t="s">
        <v>1000</v>
      </c>
      <c r="C633" s="245"/>
      <c r="D633" s="245"/>
      <c r="E633" s="245"/>
      <c r="F633" s="245"/>
      <c r="G633" s="245"/>
      <c r="H633" s="245"/>
      <c r="I633" s="245"/>
    </row>
    <row r="634" spans="1:9" ht="23.25" customHeight="1" x14ac:dyDescent="0.2">
      <c r="A634" s="87">
        <v>10</v>
      </c>
      <c r="B634" s="245" t="s">
        <v>1001</v>
      </c>
      <c r="C634" s="245"/>
      <c r="D634" s="245"/>
      <c r="E634" s="245"/>
      <c r="F634" s="245"/>
      <c r="G634" s="245"/>
      <c r="H634" s="245"/>
      <c r="I634" s="245"/>
    </row>
    <row r="635" spans="1:9" ht="18.75" customHeight="1" x14ac:dyDescent="0.2">
      <c r="A635" s="87">
        <v>11</v>
      </c>
      <c r="B635" s="245" t="s">
        <v>1002</v>
      </c>
      <c r="C635" s="245"/>
      <c r="D635" s="245"/>
      <c r="E635" s="245"/>
      <c r="F635" s="245"/>
      <c r="G635" s="245"/>
      <c r="H635" s="245"/>
      <c r="I635" s="245"/>
    </row>
    <row r="636" spans="1:9" ht="26.25" customHeight="1" x14ac:dyDescent="0.2">
      <c r="A636" s="87"/>
      <c r="B636" s="245" t="s">
        <v>1003</v>
      </c>
      <c r="C636" s="245"/>
      <c r="D636" s="245"/>
      <c r="E636" s="245"/>
      <c r="F636" s="245"/>
      <c r="G636" s="245"/>
      <c r="H636" s="245"/>
      <c r="I636" s="245"/>
    </row>
    <row r="637" spans="1:9" ht="25.5" customHeight="1" x14ac:dyDescent="0.2">
      <c r="A637" s="87">
        <v>12</v>
      </c>
      <c r="B637" s="245" t="s">
        <v>1004</v>
      </c>
      <c r="C637" s="245"/>
      <c r="D637" s="245"/>
      <c r="E637" s="245"/>
      <c r="F637" s="245"/>
      <c r="G637" s="245"/>
      <c r="H637" s="245"/>
      <c r="I637" s="245"/>
    </row>
    <row r="638" spans="1:9" ht="13.5" x14ac:dyDescent="0.2">
      <c r="A638" s="87">
        <v>13</v>
      </c>
      <c r="B638" s="245" t="s">
        <v>1005</v>
      </c>
      <c r="C638" s="245"/>
      <c r="D638" s="245"/>
      <c r="E638" s="245"/>
      <c r="F638" s="245"/>
      <c r="G638" s="245"/>
      <c r="H638" s="245"/>
      <c r="I638" s="245"/>
    </row>
    <row r="639" spans="1:9" ht="18" customHeight="1" x14ac:dyDescent="0.2">
      <c r="A639" s="87">
        <v>14</v>
      </c>
      <c r="B639" s="245" t="s">
        <v>1006</v>
      </c>
      <c r="C639" s="245"/>
      <c r="D639" s="245"/>
      <c r="E639" s="245"/>
      <c r="F639" s="245"/>
      <c r="G639" s="245"/>
      <c r="H639" s="245"/>
      <c r="I639" s="245"/>
    </row>
    <row r="640" spans="1:9" ht="13.5" x14ac:dyDescent="0.2">
      <c r="A640" s="87">
        <v>16</v>
      </c>
      <c r="B640" s="245" t="s">
        <v>1007</v>
      </c>
      <c r="C640" s="245"/>
      <c r="D640" s="245"/>
      <c r="E640" s="245"/>
      <c r="F640" s="245"/>
      <c r="G640" s="245"/>
      <c r="H640" s="245"/>
      <c r="I640" s="245"/>
    </row>
    <row r="641" spans="1:9" ht="13.5" x14ac:dyDescent="0.2">
      <c r="A641" s="87">
        <v>17</v>
      </c>
      <c r="B641" s="245" t="s">
        <v>1008</v>
      </c>
      <c r="C641" s="245"/>
      <c r="D641" s="245"/>
      <c r="E641" s="245"/>
      <c r="F641" s="245"/>
      <c r="G641" s="245"/>
      <c r="H641" s="245"/>
      <c r="I641" s="245"/>
    </row>
    <row r="642" spans="1:9" ht="13.5" x14ac:dyDescent="0.2">
      <c r="A642" s="87">
        <v>18</v>
      </c>
      <c r="B642" s="245" t="s">
        <v>1009</v>
      </c>
      <c r="C642" s="245"/>
      <c r="D642" s="245"/>
      <c r="E642" s="245"/>
      <c r="F642" s="245"/>
      <c r="G642" s="245"/>
      <c r="H642" s="245"/>
      <c r="I642" s="245"/>
    </row>
    <row r="643" spans="1:9" ht="13.5" x14ac:dyDescent="0.2">
      <c r="A643" s="87">
        <v>19</v>
      </c>
      <c r="B643" s="245" t="s">
        <v>1010</v>
      </c>
      <c r="C643" s="245"/>
      <c r="D643" s="245"/>
      <c r="E643" s="245"/>
      <c r="F643" s="245"/>
      <c r="G643" s="245"/>
      <c r="H643" s="245"/>
      <c r="I643" s="245"/>
    </row>
    <row r="644" spans="1:9" ht="13.5" x14ac:dyDescent="0.2">
      <c r="A644" s="87">
        <v>20</v>
      </c>
      <c r="B644" s="245" t="s">
        <v>1011</v>
      </c>
      <c r="C644" s="245"/>
      <c r="D644" s="245"/>
      <c r="E644" s="245"/>
      <c r="F644" s="245"/>
      <c r="G644" s="245"/>
      <c r="H644" s="245"/>
      <c r="I644" s="245"/>
    </row>
    <row r="645" spans="1:9" ht="13.5" x14ac:dyDescent="0.2">
      <c r="A645" s="87">
        <v>21</v>
      </c>
      <c r="B645" s="245" t="s">
        <v>1012</v>
      </c>
      <c r="C645" s="245"/>
      <c r="D645" s="245"/>
      <c r="E645" s="245"/>
      <c r="F645" s="245"/>
      <c r="G645" s="245"/>
      <c r="H645" s="245"/>
      <c r="I645" s="245"/>
    </row>
    <row r="646" spans="1:9" ht="13.5" x14ac:dyDescent="0.2">
      <c r="A646" s="87">
        <v>22</v>
      </c>
      <c r="B646" s="245" t="s">
        <v>1013</v>
      </c>
      <c r="C646" s="245"/>
      <c r="D646" s="245"/>
      <c r="E646" s="245"/>
      <c r="F646" s="245"/>
      <c r="G646" s="245"/>
      <c r="H646" s="245"/>
      <c r="I646" s="245"/>
    </row>
    <row r="647" spans="1:9" ht="13.5" x14ac:dyDescent="0.2">
      <c r="A647" s="87">
        <v>23</v>
      </c>
      <c r="B647" s="245" t="s">
        <v>1014</v>
      </c>
      <c r="C647" s="245"/>
      <c r="D647" s="245"/>
      <c r="E647" s="245"/>
      <c r="F647" s="245"/>
      <c r="G647" s="245"/>
      <c r="H647" s="245"/>
      <c r="I647" s="245"/>
    </row>
    <row r="648" spans="1:9" ht="13.5" x14ac:dyDescent="0.2">
      <c r="A648" s="87"/>
      <c r="B648" s="245" t="s">
        <v>1015</v>
      </c>
      <c r="C648" s="245"/>
      <c r="D648" s="245"/>
      <c r="E648" s="245"/>
      <c r="F648" s="245"/>
      <c r="G648" s="245"/>
      <c r="H648" s="245"/>
      <c r="I648" s="245"/>
    </row>
    <row r="649" spans="1:9" ht="13.5" x14ac:dyDescent="0.2">
      <c r="A649" s="87">
        <v>24</v>
      </c>
      <c r="B649" s="245" t="s">
        <v>1016</v>
      </c>
      <c r="C649" s="245"/>
      <c r="D649" s="245"/>
      <c r="E649" s="245"/>
      <c r="F649" s="245"/>
      <c r="G649" s="245"/>
      <c r="H649" s="245"/>
      <c r="I649" s="245"/>
    </row>
    <row r="650" spans="1:9" ht="13.5" x14ac:dyDescent="0.2">
      <c r="A650" s="87">
        <v>25</v>
      </c>
      <c r="B650" s="245" t="s">
        <v>1017</v>
      </c>
      <c r="C650" s="245"/>
      <c r="D650" s="245"/>
      <c r="E650" s="245"/>
      <c r="F650" s="245"/>
      <c r="G650" s="245"/>
      <c r="H650" s="245"/>
      <c r="I650" s="245"/>
    </row>
    <row r="651" spans="1:9" ht="13.5" x14ac:dyDescent="0.2">
      <c r="A651" s="87">
        <v>26</v>
      </c>
      <c r="B651" s="245" t="s">
        <v>1018</v>
      </c>
      <c r="C651" s="245"/>
      <c r="D651" s="245"/>
      <c r="E651" s="245"/>
      <c r="F651" s="245"/>
      <c r="G651" s="245"/>
      <c r="H651" s="245"/>
      <c r="I651" s="245"/>
    </row>
    <row r="652" spans="1:9" ht="13.5" x14ac:dyDescent="0.2">
      <c r="A652" s="87">
        <v>27</v>
      </c>
      <c r="B652" s="245" t="s">
        <v>1019</v>
      </c>
      <c r="C652" s="245"/>
      <c r="D652" s="245"/>
      <c r="E652" s="245"/>
      <c r="F652" s="245"/>
      <c r="G652" s="245"/>
      <c r="H652" s="245"/>
      <c r="I652" s="245"/>
    </row>
    <row r="653" spans="1:9" ht="13.5" x14ac:dyDescent="0.2">
      <c r="A653" s="87">
        <v>28</v>
      </c>
      <c r="B653" s="245" t="s">
        <v>1020</v>
      </c>
      <c r="C653" s="245"/>
      <c r="D653" s="245"/>
      <c r="E653" s="245"/>
      <c r="F653" s="245"/>
      <c r="G653" s="245"/>
      <c r="H653" s="245"/>
      <c r="I653" s="245"/>
    </row>
    <row r="654" spans="1:9" ht="13.5" x14ac:dyDescent="0.2">
      <c r="A654" s="87">
        <v>29</v>
      </c>
      <c r="B654" s="245" t="s">
        <v>1021</v>
      </c>
      <c r="C654" s="245"/>
      <c r="D654" s="245"/>
      <c r="E654" s="245"/>
      <c r="F654" s="245"/>
      <c r="G654" s="245"/>
      <c r="H654" s="245"/>
      <c r="I654" s="245"/>
    </row>
    <row r="655" spans="1:9" ht="13.5" x14ac:dyDescent="0.2">
      <c r="A655" s="87">
        <v>30</v>
      </c>
      <c r="B655" s="245" t="s">
        <v>1022</v>
      </c>
      <c r="C655" s="245"/>
      <c r="D655" s="245"/>
      <c r="E655" s="245"/>
      <c r="F655" s="245"/>
      <c r="G655" s="245"/>
      <c r="H655" s="245"/>
      <c r="I655" s="245"/>
    </row>
    <row r="656" spans="1:9" ht="13.5" x14ac:dyDescent="0.2">
      <c r="A656" s="87">
        <v>31</v>
      </c>
      <c r="B656" s="245" t="s">
        <v>1023</v>
      </c>
      <c r="C656" s="245"/>
      <c r="D656" s="245"/>
      <c r="E656" s="245"/>
      <c r="F656" s="245"/>
      <c r="G656" s="245"/>
      <c r="H656" s="245"/>
      <c r="I656" s="245"/>
    </row>
    <row r="657" spans="1:9" ht="13.5" x14ac:dyDescent="0.2">
      <c r="A657" s="87">
        <v>32</v>
      </c>
      <c r="B657" s="245" t="s">
        <v>1024</v>
      </c>
      <c r="C657" s="245"/>
      <c r="D657" s="245"/>
      <c r="E657" s="245"/>
      <c r="F657" s="245"/>
      <c r="G657" s="245"/>
      <c r="H657" s="245"/>
      <c r="I657" s="245"/>
    </row>
    <row r="658" spans="1:9" ht="13.5" x14ac:dyDescent="0.2">
      <c r="A658" s="87">
        <v>33</v>
      </c>
      <c r="B658" s="245" t="s">
        <v>1025</v>
      </c>
      <c r="C658" s="245"/>
      <c r="D658" s="245"/>
      <c r="E658" s="245"/>
      <c r="F658" s="245"/>
      <c r="G658" s="245"/>
      <c r="H658" s="245"/>
      <c r="I658" s="245"/>
    </row>
    <row r="659" spans="1:9" ht="27.75" customHeight="1" x14ac:dyDescent="0.2">
      <c r="A659" s="87">
        <v>34</v>
      </c>
      <c r="B659" s="245" t="s">
        <v>1026</v>
      </c>
      <c r="C659" s="245"/>
      <c r="D659" s="245"/>
      <c r="E659" s="245"/>
      <c r="F659" s="245"/>
      <c r="G659" s="245"/>
      <c r="H659" s="245"/>
      <c r="I659" s="245"/>
    </row>
    <row r="660" spans="1:9" ht="13.5" x14ac:dyDescent="0.2">
      <c r="A660" s="87">
        <v>35</v>
      </c>
      <c r="B660" s="245" t="s">
        <v>1027</v>
      </c>
      <c r="C660" s="245"/>
      <c r="D660" s="245"/>
      <c r="E660" s="245"/>
      <c r="F660" s="245"/>
      <c r="G660" s="245"/>
      <c r="H660" s="245"/>
      <c r="I660" s="245"/>
    </row>
    <row r="661" spans="1:9" ht="27" customHeight="1" x14ac:dyDescent="0.2">
      <c r="A661" s="87">
        <v>36</v>
      </c>
      <c r="B661" s="245" t="s">
        <v>1028</v>
      </c>
      <c r="C661" s="245"/>
      <c r="D661" s="245"/>
      <c r="E661" s="245"/>
      <c r="F661" s="245"/>
      <c r="G661" s="245"/>
      <c r="H661" s="245"/>
      <c r="I661" s="245"/>
    </row>
    <row r="662" spans="1:9" ht="13.5" x14ac:dyDescent="0.2">
      <c r="A662" s="87">
        <v>37</v>
      </c>
      <c r="B662" s="245" t="s">
        <v>1029</v>
      </c>
      <c r="C662" s="245"/>
      <c r="D662" s="245"/>
      <c r="E662" s="245"/>
      <c r="F662" s="245"/>
      <c r="G662" s="245"/>
      <c r="H662" s="245"/>
      <c r="I662" s="245"/>
    </row>
    <row r="663" spans="1:9" ht="13.5" x14ac:dyDescent="0.2">
      <c r="A663" s="87">
        <v>38</v>
      </c>
      <c r="B663" s="245" t="s">
        <v>1030</v>
      </c>
      <c r="C663" s="245"/>
      <c r="D663" s="245"/>
      <c r="E663" s="245"/>
      <c r="F663" s="245"/>
      <c r="G663" s="245"/>
      <c r="H663" s="245"/>
      <c r="I663" s="245"/>
    </row>
    <row r="664" spans="1:9" ht="13.5" x14ac:dyDescent="0.2">
      <c r="A664" s="87">
        <v>39</v>
      </c>
      <c r="B664" s="245" t="s">
        <v>1031</v>
      </c>
      <c r="C664" s="245"/>
      <c r="D664" s="245"/>
      <c r="E664" s="245"/>
      <c r="F664" s="245"/>
      <c r="G664" s="245"/>
      <c r="H664" s="245"/>
      <c r="I664" s="245"/>
    </row>
    <row r="665" spans="1:9" ht="13.5" x14ac:dyDescent="0.2">
      <c r="A665" s="87">
        <v>40</v>
      </c>
      <c r="B665" s="245" t="s">
        <v>1032</v>
      </c>
      <c r="C665" s="245"/>
      <c r="D665" s="245"/>
      <c r="E665" s="245"/>
      <c r="F665" s="245"/>
      <c r="G665" s="245"/>
      <c r="H665" s="245"/>
      <c r="I665" s="245"/>
    </row>
    <row r="666" spans="1:9" ht="24.75" customHeight="1" x14ac:dyDescent="0.2">
      <c r="A666" s="87">
        <v>41</v>
      </c>
      <c r="B666" s="245" t="s">
        <v>1033</v>
      </c>
      <c r="C666" s="245"/>
      <c r="D666" s="245"/>
      <c r="E666" s="245"/>
      <c r="F666" s="245"/>
      <c r="G666" s="245"/>
      <c r="H666" s="245"/>
      <c r="I666" s="245"/>
    </row>
    <row r="667" spans="1:9" ht="13.5" x14ac:dyDescent="0.2">
      <c r="A667" s="87">
        <v>42</v>
      </c>
      <c r="B667" s="245" t="s">
        <v>1034</v>
      </c>
      <c r="C667" s="245"/>
      <c r="D667" s="245"/>
      <c r="E667" s="245"/>
      <c r="F667" s="245"/>
      <c r="G667" s="245"/>
      <c r="H667" s="245"/>
      <c r="I667" s="245"/>
    </row>
    <row r="668" spans="1:9" ht="24.75" customHeight="1" x14ac:dyDescent="0.2">
      <c r="A668" s="87">
        <v>43</v>
      </c>
      <c r="B668" s="245" t="s">
        <v>1035</v>
      </c>
      <c r="C668" s="245"/>
      <c r="D668" s="245"/>
      <c r="E668" s="245"/>
      <c r="F668" s="245"/>
      <c r="G668" s="245"/>
      <c r="H668" s="245"/>
      <c r="I668" s="245"/>
    </row>
    <row r="669" spans="1:9" ht="13.5" x14ac:dyDescent="0.2">
      <c r="A669" s="87">
        <v>44</v>
      </c>
      <c r="B669" s="245" t="s">
        <v>1036</v>
      </c>
      <c r="C669" s="245"/>
      <c r="D669" s="245"/>
      <c r="E669" s="245"/>
      <c r="F669" s="245"/>
      <c r="G669" s="245"/>
      <c r="H669" s="245"/>
      <c r="I669" s="245"/>
    </row>
    <row r="670" spans="1:9" ht="13.5" x14ac:dyDescent="0.2">
      <c r="A670" s="87">
        <v>45</v>
      </c>
      <c r="B670" s="245" t="s">
        <v>1037</v>
      </c>
      <c r="C670" s="245"/>
      <c r="D670" s="245"/>
      <c r="E670" s="245"/>
      <c r="F670" s="245"/>
      <c r="G670" s="245"/>
      <c r="H670" s="245"/>
      <c r="I670" s="245"/>
    </row>
    <row r="671" spans="1:9" ht="24" customHeight="1" x14ac:dyDescent="0.2">
      <c r="A671" s="87">
        <v>46</v>
      </c>
      <c r="B671" s="245" t="s">
        <v>1034</v>
      </c>
      <c r="C671" s="245"/>
      <c r="D671" s="245"/>
      <c r="E671" s="245"/>
      <c r="F671" s="245"/>
      <c r="G671" s="245"/>
      <c r="H671" s="245"/>
      <c r="I671" s="245"/>
    </row>
    <row r="672" spans="1:9" ht="13.5" x14ac:dyDescent="0.2">
      <c r="A672" s="87">
        <v>47</v>
      </c>
      <c r="B672" s="245" t="s">
        <v>1038</v>
      </c>
      <c r="C672" s="245"/>
      <c r="D672" s="245"/>
      <c r="E672" s="245"/>
      <c r="F672" s="245"/>
      <c r="G672" s="245"/>
      <c r="H672" s="245"/>
      <c r="I672" s="245"/>
    </row>
    <row r="673" spans="1:10" ht="25.5" customHeight="1" x14ac:dyDescent="0.2">
      <c r="A673" s="87">
        <v>48</v>
      </c>
      <c r="B673" s="245" t="s">
        <v>1039</v>
      </c>
      <c r="C673" s="245"/>
      <c r="D673" s="245"/>
      <c r="E673" s="245"/>
      <c r="F673" s="245"/>
      <c r="G673" s="245"/>
      <c r="H673" s="245"/>
      <c r="I673" s="245"/>
    </row>
    <row r="674" spans="1:10" ht="13.5" x14ac:dyDescent="0.2">
      <c r="A674" s="87">
        <v>49</v>
      </c>
      <c r="B674" s="245" t="s">
        <v>1040</v>
      </c>
      <c r="C674" s="245"/>
      <c r="D674" s="245"/>
      <c r="E674" s="245"/>
      <c r="F674" s="245"/>
      <c r="G674" s="245"/>
      <c r="H674" s="245"/>
      <c r="I674" s="245"/>
    </row>
    <row r="675" spans="1:10" ht="13.5" x14ac:dyDescent="0.2">
      <c r="A675" s="87">
        <v>50</v>
      </c>
      <c r="B675" s="245" t="s">
        <v>1041</v>
      </c>
      <c r="C675" s="245"/>
      <c r="D675" s="245"/>
      <c r="E675" s="245"/>
      <c r="F675" s="245"/>
      <c r="G675" s="245"/>
      <c r="H675" s="245"/>
      <c r="I675" s="245"/>
    </row>
    <row r="676" spans="1:10" ht="13.5" x14ac:dyDescent="0.2">
      <c r="A676" s="87">
        <v>51</v>
      </c>
      <c r="B676" s="245" t="s">
        <v>1042</v>
      </c>
      <c r="C676" s="245"/>
      <c r="D676" s="245"/>
      <c r="E676" s="245"/>
      <c r="F676" s="245"/>
      <c r="G676" s="245"/>
      <c r="H676" s="245"/>
      <c r="I676" s="245"/>
    </row>
    <row r="677" spans="1:10" ht="25.5" customHeight="1" x14ac:dyDescent="0.2">
      <c r="A677" s="87">
        <v>52</v>
      </c>
      <c r="B677" s="245" t="s">
        <v>1043</v>
      </c>
      <c r="C677" s="245"/>
      <c r="D677" s="245"/>
      <c r="E677" s="245"/>
      <c r="F677" s="245"/>
      <c r="G677" s="245"/>
      <c r="H677" s="245"/>
      <c r="I677" s="245"/>
    </row>
    <row r="678" spans="1:10" ht="13.5" x14ac:dyDescent="0.2">
      <c r="A678" s="87">
        <v>53</v>
      </c>
      <c r="B678" s="245" t="s">
        <v>1034</v>
      </c>
      <c r="C678" s="245"/>
      <c r="D678" s="245"/>
      <c r="E678" s="245"/>
      <c r="F678" s="245"/>
      <c r="G678" s="245"/>
      <c r="H678" s="245"/>
      <c r="I678" s="245"/>
    </row>
    <row r="679" spans="1:10" ht="20.25" customHeight="1" x14ac:dyDescent="0.2">
      <c r="A679" s="87">
        <v>54</v>
      </c>
      <c r="B679" s="245" t="s">
        <v>1044</v>
      </c>
      <c r="C679" s="245"/>
      <c r="D679" s="245"/>
      <c r="E679" s="245"/>
      <c r="F679" s="245"/>
      <c r="G679" s="245"/>
      <c r="H679" s="245"/>
      <c r="I679" s="245"/>
    </row>
    <row r="680" spans="1:10" ht="24.75" customHeight="1" x14ac:dyDescent="0.2">
      <c r="A680" s="87">
        <v>55</v>
      </c>
      <c r="B680" s="245" t="s">
        <v>1045</v>
      </c>
      <c r="C680" s="245"/>
      <c r="D680" s="245"/>
      <c r="E680" s="245"/>
      <c r="F680" s="245"/>
      <c r="G680" s="245"/>
      <c r="H680" s="245"/>
      <c r="I680" s="245"/>
    </row>
    <row r="681" spans="1:10" ht="27" customHeight="1" x14ac:dyDescent="0.2">
      <c r="A681" s="87"/>
      <c r="B681" s="245" t="s">
        <v>1046</v>
      </c>
      <c r="C681" s="245"/>
      <c r="D681" s="245"/>
      <c r="E681" s="245"/>
      <c r="F681" s="245"/>
      <c r="G681" s="245"/>
      <c r="H681" s="245"/>
      <c r="I681" s="245"/>
    </row>
    <row r="682" spans="1:10" ht="22.5" customHeight="1" x14ac:dyDescent="0.2">
      <c r="A682" s="87">
        <v>57</v>
      </c>
      <c r="B682" s="245" t="s">
        <v>1047</v>
      </c>
      <c r="C682" s="245"/>
      <c r="D682" s="245"/>
      <c r="E682" s="245"/>
      <c r="F682" s="245"/>
      <c r="G682" s="245"/>
      <c r="H682" s="245"/>
      <c r="I682" s="245"/>
    </row>
    <row r="683" spans="1:10" ht="24.75" customHeight="1" x14ac:dyDescent="0.2">
      <c r="A683" s="87">
        <v>58</v>
      </c>
      <c r="B683" s="245" t="s">
        <v>1048</v>
      </c>
      <c r="C683" s="245"/>
      <c r="D683" s="245"/>
      <c r="E683" s="245"/>
      <c r="F683" s="245"/>
      <c r="G683" s="245"/>
      <c r="H683" s="245"/>
      <c r="I683" s="245"/>
    </row>
    <row r="684" spans="1:10" ht="27" customHeight="1" x14ac:dyDescent="0.2">
      <c r="A684" s="87">
        <v>59</v>
      </c>
      <c r="B684" s="245" t="s">
        <v>1049</v>
      </c>
      <c r="C684" s="245"/>
      <c r="D684" s="245"/>
      <c r="E684" s="245"/>
      <c r="F684" s="245"/>
      <c r="G684" s="245"/>
      <c r="H684" s="245"/>
      <c r="I684" s="245"/>
      <c r="J684" s="214"/>
    </row>
    <row r="685" spans="1:10" ht="13.5" x14ac:dyDescent="0.2">
      <c r="A685" s="87"/>
      <c r="B685" s="245" t="s">
        <v>1050</v>
      </c>
      <c r="C685" s="245"/>
      <c r="D685" s="245"/>
      <c r="E685" s="245"/>
      <c r="F685" s="245"/>
      <c r="G685" s="245"/>
      <c r="H685" s="245"/>
      <c r="I685" s="245"/>
      <c r="J685" s="214"/>
    </row>
    <row r="686" spans="1:10" ht="21.75" customHeight="1" x14ac:dyDescent="0.2">
      <c r="A686" s="87"/>
      <c r="B686" s="245" t="s">
        <v>1051</v>
      </c>
      <c r="C686" s="245"/>
      <c r="D686" s="245"/>
      <c r="E686" s="245"/>
      <c r="F686" s="245"/>
      <c r="G686" s="245"/>
      <c r="H686" s="245"/>
      <c r="I686" s="245"/>
      <c r="J686" s="214"/>
    </row>
    <row r="687" spans="1:10" ht="24.75" customHeight="1" x14ac:dyDescent="0.2">
      <c r="A687" s="87"/>
      <c r="B687" s="245" t="s">
        <v>1052</v>
      </c>
      <c r="C687" s="245"/>
      <c r="D687" s="245"/>
      <c r="E687" s="245"/>
      <c r="F687" s="245"/>
      <c r="G687" s="245"/>
      <c r="H687" s="245"/>
      <c r="I687" s="245"/>
    </row>
    <row r="688" spans="1:10" ht="24.75" customHeight="1" x14ac:dyDescent="0.2">
      <c r="A688" s="87"/>
      <c r="B688" s="245" t="s">
        <v>1053</v>
      </c>
      <c r="C688" s="245"/>
      <c r="D688" s="245"/>
      <c r="E688" s="245"/>
      <c r="F688" s="245"/>
      <c r="G688" s="245"/>
      <c r="H688" s="245"/>
      <c r="I688" s="245"/>
    </row>
    <row r="689" spans="1:9" ht="27" customHeight="1" x14ac:dyDescent="0.2">
      <c r="A689" s="87"/>
      <c r="B689" s="245" t="s">
        <v>1054</v>
      </c>
      <c r="C689" s="245"/>
      <c r="D689" s="245"/>
      <c r="E689" s="245"/>
      <c r="F689" s="245"/>
      <c r="G689" s="245"/>
      <c r="H689" s="245"/>
      <c r="I689" s="245"/>
    </row>
    <row r="690" spans="1:9" ht="24" customHeight="1" x14ac:dyDescent="0.2">
      <c r="A690" s="87">
        <v>60</v>
      </c>
      <c r="B690" s="245" t="s">
        <v>1055</v>
      </c>
      <c r="C690" s="245"/>
      <c r="D690" s="245"/>
      <c r="E690" s="245"/>
      <c r="F690" s="245"/>
      <c r="G690" s="245"/>
      <c r="H690" s="245"/>
      <c r="I690" s="245"/>
    </row>
    <row r="691" spans="1:9" ht="24" customHeight="1" x14ac:dyDescent="0.2">
      <c r="A691" s="87"/>
      <c r="B691" s="245" t="s">
        <v>1056</v>
      </c>
      <c r="C691" s="245"/>
      <c r="D691" s="245"/>
      <c r="E691" s="245"/>
      <c r="F691" s="245"/>
      <c r="G691" s="245"/>
      <c r="H691" s="245"/>
      <c r="I691" s="245"/>
    </row>
    <row r="692" spans="1:9" ht="22.5" customHeight="1" x14ac:dyDescent="0.2">
      <c r="A692" s="87" t="s">
        <v>1057</v>
      </c>
      <c r="B692" s="245" t="s">
        <v>1058</v>
      </c>
      <c r="C692" s="245"/>
      <c r="D692" s="245"/>
      <c r="E692" s="245"/>
      <c r="F692" s="245"/>
      <c r="G692" s="245"/>
      <c r="H692" s="245"/>
      <c r="I692" s="245"/>
    </row>
    <row r="693" spans="1:9" ht="13.5" x14ac:dyDescent="0.2">
      <c r="A693" s="87" t="s">
        <v>1059</v>
      </c>
      <c r="B693" s="245" t="s">
        <v>1060</v>
      </c>
      <c r="C693" s="245"/>
      <c r="D693" s="245"/>
      <c r="E693" s="245"/>
      <c r="F693" s="245"/>
      <c r="G693" s="245"/>
      <c r="H693" s="245"/>
      <c r="I693" s="245"/>
    </row>
    <row r="694" spans="1:9" ht="24.75" customHeight="1" x14ac:dyDescent="0.2">
      <c r="A694" s="87" t="s">
        <v>1061</v>
      </c>
      <c r="B694" s="245" t="s">
        <v>1062</v>
      </c>
      <c r="C694" s="245"/>
      <c r="D694" s="245"/>
      <c r="E694" s="245"/>
      <c r="F694" s="245"/>
      <c r="G694" s="245"/>
      <c r="H694" s="245"/>
      <c r="I694" s="245"/>
    </row>
    <row r="695" spans="1:9" ht="24.75" customHeight="1" x14ac:dyDescent="0.2">
      <c r="A695" s="87" t="s">
        <v>1063</v>
      </c>
      <c r="B695" s="245" t="s">
        <v>1064</v>
      </c>
      <c r="C695" s="245"/>
      <c r="D695" s="245"/>
      <c r="E695" s="245"/>
      <c r="F695" s="245"/>
      <c r="G695" s="245"/>
      <c r="H695" s="245"/>
      <c r="I695" s="245"/>
    </row>
    <row r="696" spans="1:9" ht="26.25" customHeight="1" x14ac:dyDescent="0.2">
      <c r="A696" s="87"/>
      <c r="B696" s="245" t="s">
        <v>1065</v>
      </c>
      <c r="C696" s="245"/>
      <c r="D696" s="245"/>
      <c r="E696" s="245"/>
      <c r="F696" s="245"/>
      <c r="G696" s="245"/>
      <c r="H696" s="245"/>
      <c r="I696" s="245"/>
    </row>
    <row r="697" spans="1:9" ht="21" customHeight="1" x14ac:dyDescent="0.2">
      <c r="A697" s="87" t="s">
        <v>1066</v>
      </c>
      <c r="B697" s="245" t="s">
        <v>1067</v>
      </c>
      <c r="C697" s="245"/>
      <c r="D697" s="245"/>
      <c r="E697" s="245"/>
      <c r="F697" s="245"/>
      <c r="G697" s="245"/>
      <c r="H697" s="245"/>
      <c r="I697" s="245"/>
    </row>
    <row r="698" spans="1:9" ht="23.25" customHeight="1" x14ac:dyDescent="0.2">
      <c r="A698" s="87" t="s">
        <v>1068</v>
      </c>
      <c r="B698" s="245" t="s">
        <v>1069</v>
      </c>
      <c r="C698" s="245"/>
      <c r="D698" s="245"/>
      <c r="E698" s="245"/>
      <c r="F698" s="245"/>
      <c r="G698" s="245"/>
      <c r="H698" s="245"/>
      <c r="I698" s="245"/>
    </row>
    <row r="699" spans="1:9" ht="17.25" customHeight="1" x14ac:dyDescent="0.2">
      <c r="A699" s="87" t="s">
        <v>1070</v>
      </c>
      <c r="B699" s="245" t="s">
        <v>1071</v>
      </c>
      <c r="C699" s="245"/>
      <c r="D699" s="245"/>
      <c r="E699" s="245"/>
      <c r="F699" s="245"/>
      <c r="G699" s="245"/>
      <c r="H699" s="245"/>
      <c r="I699" s="245"/>
    </row>
    <row r="700" spans="1:9" ht="21.75" customHeight="1" x14ac:dyDescent="0.2">
      <c r="A700" s="87"/>
      <c r="B700" s="245" t="s">
        <v>1072</v>
      </c>
      <c r="C700" s="245"/>
      <c r="D700" s="245"/>
      <c r="E700" s="245"/>
      <c r="F700" s="245"/>
      <c r="G700" s="245"/>
      <c r="H700" s="245"/>
      <c r="I700" s="245"/>
    </row>
    <row r="701" spans="1:9" ht="24.75" customHeight="1" x14ac:dyDescent="0.2">
      <c r="A701" s="87" t="s">
        <v>1073</v>
      </c>
      <c r="B701" s="245" t="s">
        <v>1074</v>
      </c>
      <c r="C701" s="245"/>
      <c r="D701" s="245"/>
      <c r="E701" s="245"/>
      <c r="F701" s="245"/>
      <c r="G701" s="245"/>
      <c r="H701" s="245"/>
      <c r="I701" s="245"/>
    </row>
    <row r="702" spans="1:9" ht="13.5" x14ac:dyDescent="0.2">
      <c r="A702" s="87" t="s">
        <v>1075</v>
      </c>
      <c r="B702" s="245" t="s">
        <v>1076</v>
      </c>
      <c r="C702" s="245"/>
      <c r="D702" s="245"/>
      <c r="E702" s="245"/>
      <c r="F702" s="245"/>
      <c r="G702" s="245"/>
      <c r="H702" s="245"/>
      <c r="I702" s="245"/>
    </row>
    <row r="703" spans="1:9" ht="13.5" x14ac:dyDescent="0.2">
      <c r="A703" s="87" t="s">
        <v>1077</v>
      </c>
      <c r="B703" s="245" t="s">
        <v>1078</v>
      </c>
      <c r="C703" s="245"/>
      <c r="D703" s="245"/>
      <c r="E703" s="245"/>
      <c r="F703" s="245"/>
      <c r="G703" s="245"/>
      <c r="H703" s="245"/>
      <c r="I703" s="245"/>
    </row>
    <row r="704" spans="1:9" ht="13.5" x14ac:dyDescent="0.2">
      <c r="A704" s="87" t="s">
        <v>1079</v>
      </c>
      <c r="B704" s="245" t="s">
        <v>1080</v>
      </c>
      <c r="C704" s="245"/>
      <c r="D704" s="245"/>
      <c r="E704" s="245"/>
      <c r="F704" s="245"/>
      <c r="G704" s="245"/>
      <c r="H704" s="245"/>
      <c r="I704" s="245"/>
    </row>
    <row r="705" spans="1:9" ht="23.25" customHeight="1" x14ac:dyDescent="0.2">
      <c r="A705" s="87" t="s">
        <v>1081</v>
      </c>
      <c r="B705" s="245" t="s">
        <v>1082</v>
      </c>
      <c r="C705" s="245"/>
      <c r="D705" s="245"/>
      <c r="E705" s="245"/>
      <c r="F705" s="245"/>
      <c r="G705" s="245"/>
      <c r="H705" s="245"/>
      <c r="I705" s="245"/>
    </row>
    <row r="706" spans="1:9" ht="13.5" x14ac:dyDescent="0.2">
      <c r="A706" s="87" t="s">
        <v>1083</v>
      </c>
      <c r="B706" s="245" t="s">
        <v>1084</v>
      </c>
      <c r="C706" s="245"/>
      <c r="D706" s="245"/>
      <c r="E706" s="245"/>
      <c r="F706" s="245"/>
      <c r="G706" s="245"/>
      <c r="H706" s="245"/>
      <c r="I706" s="245"/>
    </row>
    <row r="707" spans="1:9" ht="22.5" customHeight="1" x14ac:dyDescent="0.2">
      <c r="A707" s="87" t="s">
        <v>1085</v>
      </c>
      <c r="B707" s="245" t="s">
        <v>1086</v>
      </c>
      <c r="C707" s="245"/>
      <c r="D707" s="245"/>
      <c r="E707" s="245"/>
      <c r="F707" s="245"/>
      <c r="G707" s="245"/>
      <c r="H707" s="245"/>
      <c r="I707" s="245"/>
    </row>
    <row r="708" spans="1:9" ht="13.5" x14ac:dyDescent="0.2">
      <c r="A708" s="87" t="s">
        <v>1087</v>
      </c>
      <c r="B708" s="245" t="s">
        <v>1088</v>
      </c>
      <c r="C708" s="245"/>
      <c r="D708" s="245"/>
      <c r="E708" s="245"/>
      <c r="F708" s="245"/>
      <c r="G708" s="245"/>
      <c r="H708" s="245"/>
      <c r="I708" s="245"/>
    </row>
    <row r="709" spans="1:9" ht="13.5" x14ac:dyDescent="0.2">
      <c r="A709" s="87"/>
      <c r="B709" s="245" t="s">
        <v>1089</v>
      </c>
      <c r="C709" s="245"/>
      <c r="D709" s="245"/>
      <c r="E709" s="245"/>
      <c r="F709" s="245"/>
      <c r="G709" s="245"/>
      <c r="H709" s="245"/>
      <c r="I709" s="245"/>
    </row>
    <row r="710" spans="1:9" ht="13.5" x14ac:dyDescent="0.2">
      <c r="A710" s="87" t="s">
        <v>1090</v>
      </c>
      <c r="B710" s="245" t="s">
        <v>1091</v>
      </c>
      <c r="C710" s="245"/>
      <c r="D710" s="245"/>
      <c r="E710" s="245"/>
      <c r="F710" s="245"/>
      <c r="G710" s="245"/>
      <c r="H710" s="245"/>
      <c r="I710" s="245"/>
    </row>
    <row r="711" spans="1:9" ht="13.5" x14ac:dyDescent="0.2">
      <c r="A711" s="87" t="s">
        <v>1092</v>
      </c>
      <c r="B711" s="245" t="s">
        <v>1093</v>
      </c>
      <c r="C711" s="245"/>
      <c r="D711" s="245"/>
      <c r="E711" s="245"/>
      <c r="F711" s="245"/>
      <c r="G711" s="245"/>
      <c r="H711" s="245"/>
      <c r="I711" s="245"/>
    </row>
    <row r="712" spans="1:9" ht="13.5" x14ac:dyDescent="0.2">
      <c r="A712" s="87" t="s">
        <v>1094</v>
      </c>
      <c r="B712" s="245" t="s">
        <v>1095</v>
      </c>
      <c r="C712" s="245"/>
      <c r="D712" s="245"/>
      <c r="E712" s="245"/>
      <c r="F712" s="245"/>
      <c r="G712" s="245"/>
      <c r="H712" s="245"/>
      <c r="I712" s="245"/>
    </row>
    <row r="713" spans="1:9" ht="25.5" customHeight="1" x14ac:dyDescent="0.2">
      <c r="A713" s="87" t="s">
        <v>1096</v>
      </c>
      <c r="B713" s="245" t="s">
        <v>1097</v>
      </c>
      <c r="C713" s="245"/>
      <c r="D713" s="245"/>
      <c r="E713" s="245"/>
      <c r="F713" s="245"/>
      <c r="G713" s="245"/>
      <c r="H713" s="245"/>
      <c r="I713" s="245"/>
    </row>
    <row r="714" spans="1:9" ht="13.5" x14ac:dyDescent="0.2">
      <c r="A714" s="87"/>
      <c r="B714" s="245" t="s">
        <v>1098</v>
      </c>
      <c r="C714" s="245"/>
      <c r="D714" s="245"/>
      <c r="E714" s="245"/>
      <c r="F714" s="245"/>
      <c r="G714" s="245"/>
      <c r="H714" s="245"/>
      <c r="I714" s="245"/>
    </row>
    <row r="715" spans="1:9" ht="24" customHeight="1" x14ac:dyDescent="0.2">
      <c r="A715" s="87"/>
      <c r="B715" s="245" t="s">
        <v>1099</v>
      </c>
      <c r="C715" s="245"/>
      <c r="D715" s="245"/>
      <c r="E715" s="245"/>
      <c r="F715" s="245"/>
      <c r="G715" s="245"/>
      <c r="H715" s="245"/>
      <c r="I715" s="245"/>
    </row>
    <row r="716" spans="1:9" ht="24" customHeight="1" x14ac:dyDescent="0.2">
      <c r="A716" s="87" t="s">
        <v>1100</v>
      </c>
      <c r="B716" s="245" t="s">
        <v>1101</v>
      </c>
      <c r="C716" s="245"/>
      <c r="D716" s="245"/>
      <c r="E716" s="245"/>
      <c r="F716" s="245"/>
      <c r="G716" s="245"/>
      <c r="H716" s="245"/>
      <c r="I716" s="245"/>
    </row>
    <row r="717" spans="1:9" ht="24.75" customHeight="1" x14ac:dyDescent="0.2">
      <c r="A717" s="87" t="s">
        <v>1102</v>
      </c>
      <c r="B717" s="245" t="s">
        <v>1103</v>
      </c>
      <c r="C717" s="245"/>
      <c r="D717" s="245"/>
      <c r="E717" s="245"/>
      <c r="F717" s="245"/>
      <c r="G717" s="245"/>
      <c r="H717" s="245"/>
      <c r="I717" s="245"/>
    </row>
    <row r="718" spans="1:9" ht="27" customHeight="1" x14ac:dyDescent="0.2">
      <c r="A718" s="87" t="s">
        <v>1104</v>
      </c>
      <c r="B718" s="245" t="s">
        <v>1105</v>
      </c>
      <c r="C718" s="245"/>
      <c r="D718" s="245"/>
      <c r="E718" s="245"/>
      <c r="F718" s="245"/>
      <c r="G718" s="245"/>
      <c r="H718" s="245"/>
      <c r="I718" s="245"/>
    </row>
    <row r="719" spans="1:9" ht="15.75" customHeight="1" x14ac:dyDescent="0.2">
      <c r="A719" s="87" t="s">
        <v>1106</v>
      </c>
      <c r="B719" s="245" t="s">
        <v>1107</v>
      </c>
      <c r="C719" s="245"/>
      <c r="D719" s="245"/>
      <c r="E719" s="245"/>
      <c r="F719" s="245"/>
      <c r="G719" s="245"/>
      <c r="H719" s="245"/>
      <c r="I719" s="245"/>
    </row>
    <row r="720" spans="1:9" ht="39.75" customHeight="1" x14ac:dyDescent="0.2">
      <c r="A720" s="87" t="s">
        <v>1108</v>
      </c>
      <c r="B720" s="245" t="s">
        <v>1109</v>
      </c>
      <c r="C720" s="245"/>
      <c r="D720" s="245"/>
      <c r="E720" s="245"/>
      <c r="F720" s="245"/>
      <c r="G720" s="245"/>
      <c r="H720" s="245"/>
      <c r="I720" s="173"/>
    </row>
    <row r="721" spans="1:9" ht="16.5" customHeight="1" x14ac:dyDescent="0.2">
      <c r="A721" s="87" t="s">
        <v>1110</v>
      </c>
      <c r="B721" s="245" t="s">
        <v>1111</v>
      </c>
      <c r="C721" s="245"/>
      <c r="D721" s="245"/>
      <c r="E721" s="245"/>
      <c r="F721" s="245"/>
      <c r="G721" s="245"/>
      <c r="H721" s="245"/>
      <c r="I721" s="173"/>
    </row>
    <row r="722" spans="1:9" ht="38.25" customHeight="1" x14ac:dyDescent="0.2">
      <c r="A722" s="96" t="s">
        <v>1112</v>
      </c>
      <c r="B722" s="246" t="s">
        <v>1113</v>
      </c>
      <c r="C722" s="246"/>
      <c r="D722" s="246"/>
      <c r="E722" s="246"/>
      <c r="F722" s="246"/>
      <c r="G722" s="246"/>
      <c r="H722" s="246"/>
      <c r="I722" s="246"/>
    </row>
    <row r="723" spans="1:9" ht="49.5" customHeight="1" x14ac:dyDescent="0.2">
      <c r="A723" s="96" t="s">
        <v>1114</v>
      </c>
      <c r="B723" s="246" t="s">
        <v>1115</v>
      </c>
      <c r="C723" s="246"/>
      <c r="D723" s="246"/>
      <c r="E723" s="246"/>
      <c r="F723" s="246"/>
      <c r="G723" s="246"/>
      <c r="H723" s="246"/>
      <c r="I723" s="246"/>
    </row>
    <row r="724" spans="1:9" ht="36.75" customHeight="1" x14ac:dyDescent="0.2">
      <c r="A724" s="96" t="s">
        <v>1116</v>
      </c>
      <c r="B724" s="246" t="s">
        <v>1117</v>
      </c>
      <c r="C724" s="246"/>
      <c r="D724" s="246"/>
      <c r="E724" s="246"/>
      <c r="F724" s="246"/>
      <c r="G724" s="246"/>
      <c r="H724" s="246"/>
      <c r="I724" s="246"/>
    </row>
    <row r="725" spans="1:9" ht="36.75" customHeight="1" x14ac:dyDescent="0.2">
      <c r="A725" s="96" t="s">
        <v>1118</v>
      </c>
      <c r="B725" s="246" t="s">
        <v>1119</v>
      </c>
      <c r="C725" s="246"/>
      <c r="D725" s="246"/>
      <c r="E725" s="246"/>
      <c r="F725" s="246"/>
      <c r="G725" s="246"/>
      <c r="H725" s="246"/>
      <c r="I725" s="246"/>
    </row>
    <row r="726" spans="1:9" ht="37.5" customHeight="1" x14ac:dyDescent="0.2">
      <c r="A726" s="96" t="s">
        <v>1120</v>
      </c>
      <c r="B726" s="246" t="s">
        <v>1121</v>
      </c>
      <c r="C726" s="246"/>
      <c r="D726" s="246"/>
      <c r="E726" s="246"/>
      <c r="F726" s="246"/>
      <c r="G726" s="246"/>
      <c r="H726" s="246"/>
      <c r="I726" s="246"/>
    </row>
    <row r="727" spans="1:9" ht="19.5" customHeight="1" x14ac:dyDescent="0.2">
      <c r="A727" s="96" t="s">
        <v>1118</v>
      </c>
      <c r="B727" s="246" t="s">
        <v>1122</v>
      </c>
      <c r="C727" s="246"/>
      <c r="D727" s="246"/>
      <c r="E727" s="246"/>
      <c r="F727" s="246"/>
      <c r="G727" s="246"/>
      <c r="H727" s="246"/>
      <c r="I727" s="246"/>
    </row>
    <row r="728" spans="1:9" ht="42.75" customHeight="1" x14ac:dyDescent="0.2">
      <c r="A728" s="87" t="s">
        <v>1123</v>
      </c>
      <c r="B728" s="246" t="s">
        <v>1124</v>
      </c>
      <c r="C728" s="246"/>
      <c r="D728" s="246"/>
      <c r="E728" s="246"/>
      <c r="F728" s="246"/>
      <c r="G728" s="246"/>
      <c r="H728" s="246"/>
      <c r="I728" s="246"/>
    </row>
    <row r="729" spans="1:9" ht="19.5" customHeight="1" x14ac:dyDescent="0.2">
      <c r="A729" s="87" t="s">
        <v>1198</v>
      </c>
      <c r="B729" s="246" t="s">
        <v>1122</v>
      </c>
      <c r="C729" s="246"/>
      <c r="D729" s="246"/>
      <c r="E729" s="246"/>
      <c r="F729" s="246"/>
      <c r="G729" s="246"/>
      <c r="H729" s="246"/>
      <c r="I729" s="246"/>
    </row>
    <row r="730" spans="1:9" ht="19.5" customHeight="1" x14ac:dyDescent="0.2">
      <c r="A730" s="87" t="s">
        <v>1199</v>
      </c>
      <c r="B730" s="246" t="s">
        <v>1200</v>
      </c>
      <c r="C730" s="246"/>
      <c r="D730" s="246"/>
      <c r="E730" s="246"/>
      <c r="F730" s="246"/>
      <c r="G730" s="246"/>
      <c r="H730" s="246"/>
      <c r="I730" s="246"/>
    </row>
    <row r="731" spans="1:9" ht="16.5" customHeight="1" x14ac:dyDescent="0.2">
      <c r="A731" s="87" t="s">
        <v>1125</v>
      </c>
      <c r="B731" s="245" t="s">
        <v>1126</v>
      </c>
      <c r="C731" s="245"/>
      <c r="D731" s="245"/>
      <c r="E731" s="245"/>
      <c r="F731" s="245"/>
      <c r="G731" s="245"/>
      <c r="H731" s="245"/>
      <c r="I731" s="245"/>
    </row>
    <row r="732" spans="1:9" ht="39" customHeight="1" x14ac:dyDescent="0.2">
      <c r="A732" s="87" t="s">
        <v>1127</v>
      </c>
      <c r="B732" s="245" t="s">
        <v>1128</v>
      </c>
      <c r="C732" s="245"/>
      <c r="D732" s="245"/>
      <c r="E732" s="245"/>
      <c r="F732" s="245"/>
      <c r="G732" s="245"/>
      <c r="H732" s="245"/>
      <c r="I732" s="245"/>
    </row>
    <row r="733" spans="1:9" ht="16.5" customHeight="1" x14ac:dyDescent="0.2">
      <c r="A733" s="87" t="s">
        <v>1129</v>
      </c>
      <c r="B733" s="245" t="s">
        <v>1130</v>
      </c>
      <c r="C733" s="245"/>
      <c r="D733" s="245"/>
      <c r="E733" s="245"/>
      <c r="F733" s="245"/>
      <c r="G733" s="245"/>
      <c r="H733" s="245"/>
      <c r="I733" s="245"/>
    </row>
    <row r="734" spans="1:9" ht="46.5" customHeight="1" x14ac:dyDescent="0.2">
      <c r="A734" s="151"/>
      <c r="B734" s="245" t="s">
        <v>1131</v>
      </c>
      <c r="C734" s="245"/>
      <c r="D734" s="245"/>
      <c r="E734" s="245"/>
      <c r="F734" s="245"/>
      <c r="G734" s="245"/>
      <c r="H734" s="245"/>
      <c r="I734" s="245"/>
    </row>
    <row r="735" spans="1:9" ht="24" customHeight="1" x14ac:dyDescent="0.2">
      <c r="A735" s="87" t="s">
        <v>1132</v>
      </c>
      <c r="B735" s="245" t="s">
        <v>1133</v>
      </c>
      <c r="C735" s="245"/>
      <c r="D735" s="245"/>
      <c r="E735" s="245"/>
      <c r="F735" s="245"/>
      <c r="G735" s="245"/>
      <c r="H735" s="245"/>
      <c r="I735" s="245"/>
    </row>
    <row r="736" spans="1:9" ht="36.75" customHeight="1" x14ac:dyDescent="0.2">
      <c r="A736" s="87" t="s">
        <v>1134</v>
      </c>
      <c r="B736" s="245" t="s">
        <v>1135</v>
      </c>
      <c r="C736" s="245"/>
      <c r="D736" s="245"/>
      <c r="E736" s="245"/>
      <c r="F736" s="245"/>
      <c r="G736" s="245"/>
      <c r="H736" s="245"/>
      <c r="I736" s="245"/>
    </row>
    <row r="737" spans="1:9" ht="30" customHeight="1" x14ac:dyDescent="0.2">
      <c r="A737" s="87" t="s">
        <v>1136</v>
      </c>
      <c r="B737" s="245" t="s">
        <v>1137</v>
      </c>
      <c r="C737" s="245"/>
      <c r="D737" s="245"/>
      <c r="E737" s="245"/>
      <c r="F737" s="245"/>
      <c r="G737" s="245"/>
      <c r="H737" s="245"/>
      <c r="I737" s="245"/>
    </row>
    <row r="738" spans="1:9" ht="21.75" customHeight="1" x14ac:dyDescent="0.2">
      <c r="A738" s="87" t="s">
        <v>1138</v>
      </c>
      <c r="B738" s="245" t="s">
        <v>1139</v>
      </c>
      <c r="C738" s="245"/>
      <c r="D738" s="245"/>
      <c r="E738" s="245"/>
      <c r="F738" s="245"/>
      <c r="G738" s="245"/>
      <c r="H738" s="245"/>
      <c r="I738" s="245"/>
    </row>
    <row r="739" spans="1:9" ht="15.75" customHeight="1" x14ac:dyDescent="0.2">
      <c r="A739" s="87" t="s">
        <v>1140</v>
      </c>
      <c r="B739" s="245" t="s">
        <v>1141</v>
      </c>
      <c r="C739" s="245"/>
      <c r="D739" s="245"/>
      <c r="E739" s="245"/>
      <c r="F739" s="245"/>
      <c r="G739" s="245"/>
      <c r="H739" s="245"/>
      <c r="I739" s="245"/>
    </row>
    <row r="740" spans="1:9" ht="13.5" x14ac:dyDescent="0.2">
      <c r="A740" s="87"/>
      <c r="B740" s="245" t="s">
        <v>1142</v>
      </c>
      <c r="C740" s="245"/>
      <c r="D740" s="245"/>
      <c r="E740" s="245"/>
      <c r="F740" s="245"/>
      <c r="G740" s="245"/>
      <c r="H740" s="245"/>
      <c r="I740" s="245"/>
    </row>
    <row r="741" spans="1:9" ht="13.5" x14ac:dyDescent="0.2">
      <c r="A741" s="87" t="s">
        <v>1143</v>
      </c>
      <c r="B741" s="245" t="s">
        <v>1144</v>
      </c>
      <c r="C741" s="245"/>
      <c r="D741" s="245"/>
      <c r="E741" s="245"/>
      <c r="F741" s="245"/>
      <c r="G741" s="245"/>
      <c r="H741" s="245"/>
      <c r="I741" s="245"/>
    </row>
    <row r="742" spans="1:9" ht="13.5" x14ac:dyDescent="0.2">
      <c r="A742" s="87" t="s">
        <v>1145</v>
      </c>
      <c r="B742" s="245" t="s">
        <v>1146</v>
      </c>
      <c r="C742" s="245"/>
      <c r="D742" s="245"/>
      <c r="E742" s="245"/>
      <c r="F742" s="245"/>
      <c r="G742" s="245"/>
      <c r="H742" s="245"/>
      <c r="I742" s="245"/>
    </row>
    <row r="743" spans="1:9" ht="12.75" customHeight="1" x14ac:dyDescent="0.2">
      <c r="A743" s="87" t="s">
        <v>1147</v>
      </c>
      <c r="B743" s="245" t="s">
        <v>1148</v>
      </c>
      <c r="C743" s="245"/>
      <c r="D743" s="245"/>
      <c r="E743" s="245"/>
      <c r="F743" s="245"/>
      <c r="G743" s="245"/>
      <c r="H743" s="245"/>
      <c r="I743" s="245"/>
    </row>
    <row r="744" spans="1:9" ht="22.5" customHeight="1" x14ac:dyDescent="0.2">
      <c r="A744" s="87" t="s">
        <v>1149</v>
      </c>
      <c r="B744" s="245" t="s">
        <v>1150</v>
      </c>
      <c r="C744" s="245"/>
      <c r="D744" s="245"/>
      <c r="E744" s="245"/>
      <c r="F744" s="245"/>
      <c r="G744" s="245"/>
      <c r="H744" s="245"/>
      <c r="I744" s="245"/>
    </row>
    <row r="745" spans="1:9" ht="15.95" customHeight="1" x14ac:dyDescent="0.2">
      <c r="A745" s="89"/>
      <c r="B745" s="245"/>
      <c r="C745" s="245"/>
      <c r="D745" s="245"/>
      <c r="E745" s="245"/>
      <c r="F745" s="245"/>
      <c r="G745" s="173"/>
      <c r="H745" s="86"/>
      <c r="I745" s="173"/>
    </row>
    <row r="746" spans="1:9" ht="15.95" customHeight="1" x14ac:dyDescent="0.2">
      <c r="A746" s="90"/>
      <c r="B746" s="86"/>
      <c r="C746" s="86"/>
      <c r="D746" s="86"/>
      <c r="E746" s="86"/>
      <c r="F746" s="86"/>
      <c r="G746" s="173"/>
      <c r="H746" s="86"/>
      <c r="I746" s="173"/>
    </row>
    <row r="747" spans="1:9" ht="15.95" customHeight="1" x14ac:dyDescent="0.2">
      <c r="F747" s="78"/>
      <c r="G747" s="152"/>
      <c r="H747" s="78"/>
    </row>
  </sheetData>
  <mergeCells count="212">
    <mergeCell ref="B745:F745"/>
    <mergeCell ref="B622:I622"/>
    <mergeCell ref="B627:I627"/>
    <mergeCell ref="B628:I628"/>
    <mergeCell ref="B629:I629"/>
    <mergeCell ref="B630:I630"/>
    <mergeCell ref="B634:I634"/>
    <mergeCell ref="B623:I623"/>
    <mergeCell ref="B635:I635"/>
    <mergeCell ref="B636:I636"/>
    <mergeCell ref="B631:I631"/>
    <mergeCell ref="B632:I632"/>
    <mergeCell ref="B624:I624"/>
    <mergeCell ref="B625:I625"/>
    <mergeCell ref="B626:I626"/>
    <mergeCell ref="B633:I633"/>
    <mergeCell ref="B641:I641"/>
    <mergeCell ref="B642:I642"/>
    <mergeCell ref="B643:I643"/>
    <mergeCell ref="B650:I650"/>
    <mergeCell ref="B651:I651"/>
    <mergeCell ref="B652:I652"/>
    <mergeCell ref="B653:I653"/>
    <mergeCell ref="B654:I654"/>
    <mergeCell ref="A9:I9"/>
    <mergeCell ref="A347:I347"/>
    <mergeCell ref="A349:I349"/>
    <mergeCell ref="A354:I354"/>
    <mergeCell ref="B601:H601"/>
    <mergeCell ref="A14:I14"/>
    <mergeCell ref="A144:I144"/>
    <mergeCell ref="A257:I257"/>
    <mergeCell ref="A245:I245"/>
    <mergeCell ref="A33:I33"/>
    <mergeCell ref="A10:B10"/>
    <mergeCell ref="B579:I579"/>
    <mergeCell ref="A21:I21"/>
    <mergeCell ref="A334:I334"/>
    <mergeCell ref="A48:I48"/>
    <mergeCell ref="A20:I20"/>
    <mergeCell ref="F10:G10"/>
    <mergeCell ref="H10:I10"/>
    <mergeCell ref="A230:I230"/>
    <mergeCell ref="A15:I15"/>
    <mergeCell ref="A288:I288"/>
    <mergeCell ref="A221:I221"/>
    <mergeCell ref="A298:I298"/>
    <mergeCell ref="A267:I267"/>
    <mergeCell ref="A276:I276"/>
    <mergeCell ref="A314:I314"/>
    <mergeCell ref="A319:I319"/>
    <mergeCell ref="A178:I178"/>
    <mergeCell ref="A12:I12"/>
    <mergeCell ref="A105:I105"/>
    <mergeCell ref="A203:I203"/>
    <mergeCell ref="A73:I73"/>
    <mergeCell ref="A306:I306"/>
    <mergeCell ref="A474:I474"/>
    <mergeCell ref="A476:I476"/>
    <mergeCell ref="A341:I341"/>
    <mergeCell ref="A554:I554"/>
    <mergeCell ref="A481:I481"/>
    <mergeCell ref="B583:I583"/>
    <mergeCell ref="B584:H584"/>
    <mergeCell ref="A532:I532"/>
    <mergeCell ref="A311:I311"/>
    <mergeCell ref="A325:I325"/>
    <mergeCell ref="A330:I330"/>
    <mergeCell ref="A565:I565"/>
    <mergeCell ref="A513:I513"/>
    <mergeCell ref="A505:I505"/>
    <mergeCell ref="B587:I587"/>
    <mergeCell ref="B586:H586"/>
    <mergeCell ref="B607:H607"/>
    <mergeCell ref="B577:I577"/>
    <mergeCell ref="B578:I578"/>
    <mergeCell ref="B593:H593"/>
    <mergeCell ref="B588:H588"/>
    <mergeCell ref="B589:I589"/>
    <mergeCell ref="B591:H591"/>
    <mergeCell ref="B590:H590"/>
    <mergeCell ref="B581:I581"/>
    <mergeCell ref="B582:I582"/>
    <mergeCell ref="B585:H585"/>
    <mergeCell ref="B594:H594"/>
    <mergeCell ref="B595:H595"/>
    <mergeCell ref="B603:H603"/>
    <mergeCell ref="B600:H600"/>
    <mergeCell ref="B599:H599"/>
    <mergeCell ref="B592:H592"/>
    <mergeCell ref="B602:H602"/>
    <mergeCell ref="B598:H598"/>
    <mergeCell ref="B597:H597"/>
    <mergeCell ref="B596:I596"/>
    <mergeCell ref="B580:I580"/>
    <mergeCell ref="B608:H608"/>
    <mergeCell ref="B606:H606"/>
    <mergeCell ref="B604:H604"/>
    <mergeCell ref="B605:H605"/>
    <mergeCell ref="B615:I615"/>
    <mergeCell ref="B614:I614"/>
    <mergeCell ref="B613:I613"/>
    <mergeCell ref="B638:I638"/>
    <mergeCell ref="B640:I640"/>
    <mergeCell ref="B639:I639"/>
    <mergeCell ref="B637:I637"/>
    <mergeCell ref="B612:I612"/>
    <mergeCell ref="B611:I611"/>
    <mergeCell ref="B610:I610"/>
    <mergeCell ref="B609:I609"/>
    <mergeCell ref="B616:I616"/>
    <mergeCell ref="B617:I617"/>
    <mergeCell ref="B618:J618"/>
    <mergeCell ref="B619:J619"/>
    <mergeCell ref="B620:J620"/>
    <mergeCell ref="B621:J621"/>
    <mergeCell ref="B655:I655"/>
    <mergeCell ref="B644:I644"/>
    <mergeCell ref="B645:I645"/>
    <mergeCell ref="B646:I646"/>
    <mergeCell ref="B647:I647"/>
    <mergeCell ref="B648:I648"/>
    <mergeCell ref="B649:I649"/>
    <mergeCell ref="B662:I662"/>
    <mergeCell ref="B667:I667"/>
    <mergeCell ref="B668:I668"/>
    <mergeCell ref="B669:I669"/>
    <mergeCell ref="B663:I663"/>
    <mergeCell ref="B664:I664"/>
    <mergeCell ref="B665:I665"/>
    <mergeCell ref="B666:I666"/>
    <mergeCell ref="B656:I656"/>
    <mergeCell ref="B657:I657"/>
    <mergeCell ref="B658:I658"/>
    <mergeCell ref="B659:I659"/>
    <mergeCell ref="B660:I660"/>
    <mergeCell ref="B661:I661"/>
    <mergeCell ref="B681:I681"/>
    <mergeCell ref="B670:I670"/>
    <mergeCell ref="B671:I671"/>
    <mergeCell ref="B672:I672"/>
    <mergeCell ref="B673:I673"/>
    <mergeCell ref="B674:I674"/>
    <mergeCell ref="B675:I675"/>
    <mergeCell ref="B676:I676"/>
    <mergeCell ref="B677:I677"/>
    <mergeCell ref="B678:I678"/>
    <mergeCell ref="B679:I679"/>
    <mergeCell ref="B680:I680"/>
    <mergeCell ref="B744:I744"/>
    <mergeCell ref="B739:I739"/>
    <mergeCell ref="B740:I740"/>
    <mergeCell ref="B741:I741"/>
    <mergeCell ref="B742:I742"/>
    <mergeCell ref="B738:I738"/>
    <mergeCell ref="B743:I743"/>
    <mergeCell ref="B736:I736"/>
    <mergeCell ref="B735:I735"/>
    <mergeCell ref="B712:I712"/>
    <mergeCell ref="B737:I737"/>
    <mergeCell ref="B731:I731"/>
    <mergeCell ref="B732:I732"/>
    <mergeCell ref="B717:I717"/>
    <mergeCell ref="B718:I718"/>
    <mergeCell ref="B720:H720"/>
    <mergeCell ref="B714:I714"/>
    <mergeCell ref="B722:I722"/>
    <mergeCell ref="B726:I726"/>
    <mergeCell ref="B721:H721"/>
    <mergeCell ref="B733:I733"/>
    <mergeCell ref="B734:I734"/>
    <mergeCell ref="B728:I728"/>
    <mergeCell ref="B727:I727"/>
    <mergeCell ref="B724:I724"/>
    <mergeCell ref="B725:I725"/>
    <mergeCell ref="B719:I719"/>
    <mergeCell ref="B723:I723"/>
    <mergeCell ref="B715:I715"/>
    <mergeCell ref="B716:I716"/>
    <mergeCell ref="B713:I713"/>
    <mergeCell ref="B729:I729"/>
    <mergeCell ref="B730:I730"/>
    <mergeCell ref="B711:I711"/>
    <mergeCell ref="B710:I710"/>
    <mergeCell ref="B703:I703"/>
    <mergeCell ref="B704:I704"/>
    <mergeCell ref="B705:I705"/>
    <mergeCell ref="B706:I706"/>
    <mergeCell ref="B709:I709"/>
    <mergeCell ref="B701:I701"/>
    <mergeCell ref="B707:I707"/>
    <mergeCell ref="B708:I708"/>
    <mergeCell ref="B702:I702"/>
    <mergeCell ref="B683:I683"/>
    <mergeCell ref="B684:I684"/>
    <mergeCell ref="B685:I685"/>
    <mergeCell ref="B691:I691"/>
    <mergeCell ref="B700:I700"/>
    <mergeCell ref="B693:I693"/>
    <mergeCell ref="B694:I694"/>
    <mergeCell ref="B695:I695"/>
    <mergeCell ref="B682:I682"/>
    <mergeCell ref="B692:I692"/>
    <mergeCell ref="B686:I686"/>
    <mergeCell ref="B689:I689"/>
    <mergeCell ref="B690:I690"/>
    <mergeCell ref="B687:I687"/>
    <mergeCell ref="B688:I688"/>
    <mergeCell ref="B696:I696"/>
    <mergeCell ref="B697:I697"/>
    <mergeCell ref="B698:I698"/>
    <mergeCell ref="B699:I699"/>
  </mergeCells>
  <phoneticPr fontId="0" type="noConversion"/>
  <printOptions horizontalCentered="1"/>
  <pageMargins left="0.98425196850393704" right="0.98425196850393704" top="0.98425196850393704" bottom="0.98425196850393704" header="0.51181102362204722" footer="0.51181102362204722"/>
  <pageSetup paperSize="9" scale="60" firstPageNumber="127" fitToHeight="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PAG.1</vt:lpstr>
      <vt:lpstr>PAG.1!Área_de_impresión</vt:lpstr>
      <vt:lpstr>PAG.1!Títulos_a_imprimir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COPRI</dc:creator>
  <cp:keywords/>
  <dc:description/>
  <cp:lastModifiedBy>Dirección de Portafolio de Proyectos</cp:lastModifiedBy>
  <cp:revision/>
  <dcterms:created xsi:type="dcterms:W3CDTF">1997-07-03T17:36:28Z</dcterms:created>
  <dcterms:modified xsi:type="dcterms:W3CDTF">2025-10-06T20:56:03Z</dcterms:modified>
  <cp:category/>
  <cp:contentStatus/>
</cp:coreProperties>
</file>