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45" yWindow="30" windowWidth="7530" windowHeight="7020" tabRatio="884" activeTab="0"/>
  </bookViews>
  <sheets>
    <sheet name="3.3. Venta Acciones y Activos" sheetId="1" r:id="rId1"/>
  </sheets>
  <definedNames>
    <definedName name="_xlnm.Print_Area" localSheetId="0">'3.3. Venta Acciones y Activos'!$A$1:$I$337</definedName>
    <definedName name="_xlnm.Print_Titles" localSheetId="0">'3.3. Venta Acciones y Activos'!$1:$5</definedName>
  </definedNames>
  <calcPr fullCalcOnLoad="1"/>
</workbook>
</file>

<file path=xl/comments1.xml><?xml version="1.0" encoding="utf-8"?>
<comments xmlns="http://schemas.openxmlformats.org/spreadsheetml/2006/main">
  <authors>
    <author>mciudad</author>
    <author>nzegarra</author>
    <author>hrodriguez</author>
    <author>cguevara</author>
  </authors>
  <commentList>
    <comment ref="F297" authorId="0">
      <text>
        <r>
          <rPr>
            <b/>
            <sz val="8"/>
            <rFont val="Tahoma"/>
            <family val="2"/>
          </rPr>
          <t>montos iniciales de contraprestación: $250,000 calcáreos
$110,000 diatomitas
$100,000 yeso
Los montos de contraprestación diferida son a razón de $5.10, $1.50 y $0.60 por cada Tm de extracción</t>
        </r>
      </text>
    </comment>
    <comment ref="F301" authorId="1">
      <text>
        <r>
          <rPr>
            <b/>
            <sz val="8"/>
            <rFont val="Tahoma"/>
            <family val="2"/>
          </rPr>
          <t>1 Millon el 15.09.04  
1 Millon el 15.09.05   
Pagos realizados a cuenta de las Regalías. A la firma del Contrato de Transferencia firmado el 26.04.08 las Regalías se establecieron en 1.7% de las Ventas Netas durante la vida útil de la Mina, pagaderos semestralmente.</t>
        </r>
      </text>
    </comment>
    <comment ref="F302" authorId="2">
      <text>
        <r>
          <rPr>
            <b/>
            <sz val="8"/>
            <rFont val="Tahoma"/>
            <family val="2"/>
          </rPr>
          <t xml:space="preserve">hrodriguez: Al tipo de cambio bancario del 28.10.08. T.C.= 3.104 Fuente: BCR </t>
        </r>
        <r>
          <rPr>
            <sz val="8"/>
            <rFont val="Tahoma"/>
            <family val="2"/>
          </rPr>
          <t xml:space="preserve">
</t>
        </r>
      </text>
    </comment>
    <comment ref="G315" authorId="3">
      <text>
        <r>
          <rPr>
            <b/>
            <sz val="8"/>
            <rFont val="Tahoma"/>
            <family val="2"/>
          </rPr>
          <t>cguevara:</t>
        </r>
        <r>
          <rPr>
            <sz val="8"/>
            <rFont val="Tahoma"/>
            <family val="2"/>
          </rPr>
          <t xml:space="preserve">
Tipo de cambio 2.75</t>
        </r>
      </text>
    </comment>
    <comment ref="G319" authorId="3">
      <text>
        <r>
          <rPr>
            <b/>
            <sz val="8"/>
            <rFont val="Tahoma"/>
            <family val="2"/>
          </rPr>
          <t>cguevara:</t>
        </r>
        <r>
          <rPr>
            <sz val="8"/>
            <rFont val="Tahoma"/>
            <family val="2"/>
          </rPr>
          <t xml:space="preserve">
TC promedio: 2.668 del día 18.05.12</t>
        </r>
      </text>
    </comment>
    <comment ref="G320" authorId="3">
      <text>
        <r>
          <rPr>
            <b/>
            <sz val="8"/>
            <rFont val="Tahoma"/>
            <family val="2"/>
          </rPr>
          <t>cguevara:</t>
        </r>
        <r>
          <rPr>
            <sz val="8"/>
            <rFont val="Tahoma"/>
            <family val="2"/>
          </rPr>
          <t xml:space="preserve">
Tipo de cambio promedio del 28.05.12: 2.69</t>
        </r>
      </text>
    </comment>
    <comment ref="G321" authorId="3">
      <text>
        <r>
          <rPr>
            <b/>
            <sz val="8"/>
            <rFont val="Tahoma"/>
            <family val="2"/>
          </rPr>
          <t>cguevara:</t>
        </r>
        <r>
          <rPr>
            <sz val="8"/>
            <rFont val="Tahoma"/>
            <family val="2"/>
          </rPr>
          <t xml:space="preserve">
TC del 07.11.12: 2.56
TC del 29.11.12: 2.58</t>
        </r>
      </text>
    </comment>
    <comment ref="G325" authorId="3">
      <text>
        <r>
          <rPr>
            <b/>
            <sz val="8"/>
            <rFont val="Tahoma"/>
            <family val="2"/>
          </rPr>
          <t>cguevara:</t>
        </r>
        <r>
          <rPr>
            <sz val="8"/>
            <rFont val="Tahoma"/>
            <family val="2"/>
          </rPr>
          <t xml:space="preserve">
Tipo de cambio del 08.08.2013: 2.79</t>
        </r>
      </text>
    </comment>
    <comment ref="F328" authorId="3">
      <text>
        <r>
          <rPr>
            <b/>
            <sz val="8"/>
            <rFont val="Tahoma"/>
            <family val="2"/>
          </rPr>
          <t>cguevara:</t>
        </r>
        <r>
          <rPr>
            <sz val="8"/>
            <rFont val="Tahoma"/>
            <family val="2"/>
          </rPr>
          <t xml:space="preserve">
Tipo de cambio promedio del día 26.05.2014: 2.78</t>
        </r>
      </text>
    </comment>
    <comment ref="F329" authorId="3">
      <text>
        <r>
          <rPr>
            <b/>
            <sz val="8"/>
            <rFont val="Tahoma"/>
            <family val="2"/>
          </rPr>
          <t>cguevara:</t>
        </r>
        <r>
          <rPr>
            <sz val="8"/>
            <rFont val="Tahoma"/>
            <family val="2"/>
          </rPr>
          <t xml:space="preserve">
Tipo de cambio promedio del día 26.06.14: 2.80</t>
        </r>
      </text>
    </comment>
  </commentList>
</comments>
</file>

<file path=xl/sharedStrings.xml><?xml version="1.0" encoding="utf-8"?>
<sst xmlns="http://schemas.openxmlformats.org/spreadsheetml/2006/main" count="1038" uniqueCount="697">
  <si>
    <t>Lar Carbón</t>
  </si>
  <si>
    <t>abr-set.94</t>
  </si>
  <si>
    <t>Tierras de Chao</t>
  </si>
  <si>
    <t>Agricultura</t>
  </si>
  <si>
    <t>22.04.94</t>
  </si>
  <si>
    <t>Refinería de Ilo</t>
  </si>
  <si>
    <t>25.04.94</t>
  </si>
  <si>
    <t>SPL - Modulo de Licores, Cartavio</t>
  </si>
  <si>
    <t>abr. 94</t>
  </si>
  <si>
    <t>Partic. menores B. Nación</t>
  </si>
  <si>
    <t>Varios</t>
  </si>
  <si>
    <t>15.06.94</t>
  </si>
  <si>
    <t>Cementos Lima</t>
  </si>
  <si>
    <t>23.06.94</t>
  </si>
  <si>
    <t>Epsep (activos )</t>
  </si>
  <si>
    <t>12.07.94</t>
  </si>
  <si>
    <t>Edelnor</t>
  </si>
  <si>
    <t>Edelsur</t>
  </si>
  <si>
    <t>20.07.94</t>
  </si>
  <si>
    <t>Interbanc</t>
  </si>
  <si>
    <t>31.08.94</t>
  </si>
  <si>
    <t>Sind. de Inv. y Administr.</t>
  </si>
  <si>
    <t>Servicios</t>
  </si>
  <si>
    <t>05.09.94</t>
  </si>
  <si>
    <t>Nuevas Inversiones S.A.</t>
  </si>
  <si>
    <t>06.10.94</t>
  </si>
  <si>
    <t>(c3)</t>
  </si>
  <si>
    <t>04.11.94</t>
  </si>
  <si>
    <t>(c4)</t>
  </si>
  <si>
    <t>25.11.94</t>
  </si>
  <si>
    <t xml:space="preserve">Pesca Perú - Chicama </t>
  </si>
  <si>
    <t>nov/dic 94</t>
  </si>
  <si>
    <t>12.12.94</t>
  </si>
  <si>
    <t xml:space="preserve">Pesca Perú - Chimbote C. </t>
  </si>
  <si>
    <t>16.12.94</t>
  </si>
  <si>
    <t>23.12.94</t>
  </si>
  <si>
    <t xml:space="preserve">Pesca - Perú - Mollendo </t>
  </si>
  <si>
    <t>TOTAL 1994</t>
  </si>
  <si>
    <t>13.01.95</t>
  </si>
  <si>
    <t>Pesca Perú - La Planchada</t>
  </si>
  <si>
    <t>25.01.95</t>
  </si>
  <si>
    <t>Ertsa Puno</t>
  </si>
  <si>
    <t>27.01.95</t>
  </si>
  <si>
    <t>Pesca Perú - Atico</t>
  </si>
  <si>
    <t>Turismo</t>
  </si>
  <si>
    <t>01.01.95</t>
  </si>
  <si>
    <t>21.02.95</t>
  </si>
  <si>
    <t>23.02.95</t>
  </si>
  <si>
    <t>10.03.95</t>
  </si>
  <si>
    <t>18.04.95</t>
  </si>
  <si>
    <t>25.04.95</t>
  </si>
  <si>
    <t>may-ago 95</t>
  </si>
  <si>
    <t>Paradores, Inmuebles, marca H.de Turistas</t>
  </si>
  <si>
    <t>30.05.95</t>
  </si>
  <si>
    <t>Complejo Turístico El Chaco – La Puntilla - Lote B</t>
  </si>
  <si>
    <t>29.04.05</t>
  </si>
  <si>
    <t>15.06.95</t>
  </si>
  <si>
    <t>05.06.95</t>
  </si>
  <si>
    <t>23.06.95</t>
  </si>
  <si>
    <t>06.07.95</t>
  </si>
  <si>
    <t>Minero Perú - Viviendas de Ilo</t>
  </si>
  <si>
    <t>15.08.95</t>
  </si>
  <si>
    <t>jul-ago 95</t>
  </si>
  <si>
    <t>Banco Continental - Trabajadores</t>
  </si>
  <si>
    <t>10.08.95</t>
  </si>
  <si>
    <t>Fertisa - Terreno de Oquendo</t>
  </si>
  <si>
    <t>11.08.95</t>
  </si>
  <si>
    <t>Pesca Perú  - Supe Norte</t>
  </si>
  <si>
    <t>ago 95</t>
  </si>
  <si>
    <t>Sider Perú S.A. - Inmuebles</t>
  </si>
  <si>
    <t>17.10.95</t>
  </si>
  <si>
    <t>20.10.95</t>
  </si>
  <si>
    <t>Enafer - Inmuebles</t>
  </si>
  <si>
    <t>31.10.95</t>
  </si>
  <si>
    <t xml:space="preserve"> (c)</t>
  </si>
  <si>
    <t>28.11.95</t>
  </si>
  <si>
    <t>30.11.95</t>
  </si>
  <si>
    <t>Mar - Dic 06</t>
  </si>
  <si>
    <t>Epsep - Mercado Mayorista Callao</t>
  </si>
  <si>
    <t>07.12.95</t>
  </si>
  <si>
    <t>15.12.95</t>
  </si>
  <si>
    <t>TOTAL 1995</t>
  </si>
  <si>
    <t>31.01.96</t>
  </si>
  <si>
    <t>17.03.00</t>
  </si>
  <si>
    <t>Centromin - Prospecto Aurífero Paucaray</t>
  </si>
  <si>
    <t>14.02.96</t>
  </si>
  <si>
    <t>10.04.96</t>
  </si>
  <si>
    <t>Ede- Chancay - Trabajadores</t>
  </si>
  <si>
    <t>23.04.96</t>
  </si>
  <si>
    <t>SPL - Máquina Papelera PPX-8</t>
  </si>
  <si>
    <t>15.05.96</t>
  </si>
  <si>
    <t xml:space="preserve">Epsep - Frigoríficos Pesq. Jaén y Celendín </t>
  </si>
  <si>
    <t>11.06.96</t>
  </si>
  <si>
    <t xml:space="preserve">Epersur - Inmueble Ilo </t>
  </si>
  <si>
    <t>jun-ago 96</t>
  </si>
  <si>
    <t>Epsep - Vehículos</t>
  </si>
  <si>
    <t>25.06.96</t>
  </si>
  <si>
    <t>27.06.96</t>
  </si>
  <si>
    <t>3 Jun/1 Jul</t>
  </si>
  <si>
    <t>Telecomunicac.</t>
  </si>
  <si>
    <t>3 Jun/ Jul</t>
  </si>
  <si>
    <t>1ro. Jul</t>
  </si>
  <si>
    <t>12.07.96</t>
  </si>
  <si>
    <t>17.07.96</t>
  </si>
  <si>
    <t>22.07.96</t>
  </si>
  <si>
    <t>15.08.96</t>
  </si>
  <si>
    <t>21.08.96</t>
  </si>
  <si>
    <t>22.10.96</t>
  </si>
  <si>
    <t>28.10.96</t>
  </si>
  <si>
    <t>30.10.96</t>
  </si>
  <si>
    <t>11.11.96</t>
  </si>
  <si>
    <t>05.12.96</t>
  </si>
  <si>
    <t>nov/dic 96</t>
  </si>
  <si>
    <t>30.12.96</t>
  </si>
  <si>
    <t xml:space="preserve">Pesca Perú Huarmey S.A.  </t>
  </si>
  <si>
    <t xml:space="preserve">TOTAL 1996 </t>
  </si>
  <si>
    <t>11.02.97</t>
  </si>
  <si>
    <t>26.02.97</t>
  </si>
  <si>
    <t>28.02.97</t>
  </si>
  <si>
    <t>Comunicación</t>
  </si>
  <si>
    <t>06.03.97</t>
  </si>
  <si>
    <t>21.03.97</t>
  </si>
  <si>
    <t>04.04.97</t>
  </si>
  <si>
    <t>Pesca Perú Ilo Centro S.A.</t>
  </si>
  <si>
    <t>15.04.97</t>
  </si>
  <si>
    <t>A3. VENTA DE ACTIVOS MENORES - OTROS INGRESOS</t>
  </si>
  <si>
    <t>VARIOS</t>
  </si>
  <si>
    <t>TOTAL ACTIVOS MENORES - OTROS INGRESOS</t>
  </si>
  <si>
    <t>TOTAL VENTAS  (A1+A2+A3)</t>
  </si>
  <si>
    <t>29.10.96</t>
  </si>
  <si>
    <t>Petroperú - Lote X</t>
  </si>
  <si>
    <t>02.10.96</t>
  </si>
  <si>
    <t>01.10.99</t>
  </si>
  <si>
    <t>Minero Perú - Ccayo  Huinicunca</t>
  </si>
  <si>
    <t>14.01.00</t>
  </si>
  <si>
    <t>Centromín - Prospecto Minero Quicay</t>
  </si>
  <si>
    <t>NOTAS:</t>
  </si>
  <si>
    <t xml:space="preserve">Inversiones comprometidas.                       </t>
  </si>
  <si>
    <t xml:space="preserve">(c1) </t>
  </si>
  <si>
    <t>(c5)</t>
  </si>
  <si>
    <t xml:space="preserve">(c5) </t>
  </si>
  <si>
    <t>Compromiso de inversión expresado en metas físicas.   Inversión mínima US$2 MM y adicional de aprox. US$6 MM.</t>
  </si>
  <si>
    <t>29.01.01</t>
  </si>
  <si>
    <t>14.02.01</t>
  </si>
  <si>
    <t>22.03.01</t>
  </si>
  <si>
    <t>Participación Accionaria del 25% en ISCAYCRUZ</t>
  </si>
  <si>
    <t>10 Prospectos Mineros</t>
  </si>
  <si>
    <t>08.01.01</t>
  </si>
  <si>
    <t>12 y 13.12.00</t>
  </si>
  <si>
    <t xml:space="preserve">TOTAL 1997    </t>
  </si>
  <si>
    <t xml:space="preserve">TOTAL 1999  </t>
  </si>
  <si>
    <t>19.06.01</t>
  </si>
  <si>
    <t>TECSUR S.A.A.</t>
  </si>
  <si>
    <t>11.07.01</t>
  </si>
  <si>
    <t>Tierras Eriazas  (174 has)</t>
  </si>
  <si>
    <t>20.07.01</t>
  </si>
  <si>
    <t>ELECTROANDES S.A.</t>
  </si>
  <si>
    <t>Tierras P.E. Chinecas (959.84 has)    **</t>
  </si>
  <si>
    <t>20.08.01</t>
  </si>
  <si>
    <t>Bayóvar (Seguna Fase)</t>
  </si>
  <si>
    <t>por el derecho de usufructo y superficie por un período de 30 años sobre el terreno, edificaciones e instalaciones fijas del Almacén.</t>
  </si>
  <si>
    <t>b3</t>
  </si>
  <si>
    <t>25.10.01</t>
  </si>
  <si>
    <t xml:space="preserve">Area Experimental Proyecto Olmos </t>
  </si>
  <si>
    <t>16.10.01</t>
  </si>
  <si>
    <t>20.12.01</t>
  </si>
  <si>
    <t>2 inmuebles ubicados en Pta.Negra y Pta.Hermosa</t>
  </si>
  <si>
    <t>Participaciones Minoritarias (Luz del Sur, Cervesur, Aceros Arequipa, Telefónica, Alicorp)</t>
  </si>
  <si>
    <t>Set-Dic 01</t>
  </si>
  <si>
    <t>06.11.01</t>
  </si>
  <si>
    <t>Compañía de Seg.de Crédito y Garantías SECREX</t>
  </si>
  <si>
    <t>Seguros</t>
  </si>
  <si>
    <t>TOTAL 2002</t>
  </si>
  <si>
    <t>30.01.02</t>
  </si>
  <si>
    <t>17.01.02</t>
  </si>
  <si>
    <t>29.01.02</t>
  </si>
  <si>
    <t>Cartera Crédito MEF - COFIDE (Laboratorios Atral)</t>
  </si>
  <si>
    <t>25.03.02</t>
  </si>
  <si>
    <t>Edelnor - Remanente Acciones (1er Tramo)</t>
  </si>
  <si>
    <t>Tierras P.E. Chavimochic (916 has)</t>
  </si>
  <si>
    <t xml:space="preserve">Tierras P.E. Chavimochic (4,220 has)   </t>
  </si>
  <si>
    <t>12.04.02</t>
  </si>
  <si>
    <t>22.05.02</t>
  </si>
  <si>
    <t>Edelnor - Remanente Acciones (2do Tramo)</t>
  </si>
  <si>
    <t xml:space="preserve">Centromín - Unidad Minera Yauricocha </t>
  </si>
  <si>
    <t>30.04.02</t>
  </si>
  <si>
    <t xml:space="preserve">TOTAL 2001  </t>
  </si>
  <si>
    <t>29.02.02</t>
  </si>
  <si>
    <t>Inmueble ubicado Calle Punta Arenas, La Molina (SBN)</t>
  </si>
  <si>
    <t>Inmueble ubicado Carretera a Cajamarquilla (SBN)</t>
  </si>
  <si>
    <t>28.10.08</t>
  </si>
  <si>
    <t>Inmuebles ubicado La Molina (SBN)</t>
  </si>
  <si>
    <t>A1. SIN INTERVENCION DE PROINVERSIÓN (ANTES COPRI)</t>
  </si>
  <si>
    <t>A2. CON INTERVENCION DE PROINVERSIÓN  (ANTES COPRI)</t>
  </si>
  <si>
    <t>26.09.02</t>
  </si>
  <si>
    <t>Inmuebles ubicados en Barranco, Surco, Panamericana (SBN)</t>
  </si>
  <si>
    <t>02.12.02</t>
  </si>
  <si>
    <t>12.02.03</t>
  </si>
  <si>
    <t>Textil Piura</t>
  </si>
  <si>
    <t>23.04.03</t>
  </si>
  <si>
    <t>3 Prospectos Mineros</t>
  </si>
  <si>
    <t>06.05.03</t>
  </si>
  <si>
    <t>07.05.03</t>
  </si>
  <si>
    <t>25.06.03</t>
  </si>
  <si>
    <t>27.06.03</t>
  </si>
  <si>
    <t>Tierras eriazas en Nazca</t>
  </si>
  <si>
    <t>Tierras eriazas en Arequipa</t>
  </si>
  <si>
    <t>Tierras eriazas en La Libertad</t>
  </si>
  <si>
    <t>14.09.06</t>
  </si>
  <si>
    <t>27.09.06</t>
  </si>
  <si>
    <t>Consorcio Transmantaro S.A.</t>
  </si>
  <si>
    <t>Complejo Turístico El Chaco – La Puntilla - Lote A</t>
  </si>
  <si>
    <t>20.07.07</t>
  </si>
  <si>
    <t>27.08.07</t>
  </si>
  <si>
    <t>Cemento Andino</t>
  </si>
  <si>
    <t>29.08.07</t>
  </si>
  <si>
    <t>Empresa Eléctrica de Piura</t>
  </si>
  <si>
    <t>26.06.03</t>
  </si>
  <si>
    <t>26.04.08</t>
  </si>
  <si>
    <t>El Contrato de Opción de Transferencia se firmó el 14 de mayo de 2003 y el 26 de agosto de 2004 se firmó un addendum</t>
  </si>
  <si>
    <t>14 Inmuebles (SBN y Electroperú)</t>
  </si>
  <si>
    <t>Empresa Agraria Azucarera Andahuasi S.A.A</t>
  </si>
  <si>
    <t>20.01.05</t>
  </si>
  <si>
    <t>21.01.05</t>
  </si>
  <si>
    <t>Red Eléctrica del Sur S.A. - REDESUR</t>
  </si>
  <si>
    <t>15.03.05</t>
  </si>
  <si>
    <t>Empresa de la Sal S.A. - EMSAL</t>
  </si>
  <si>
    <t>28.03.05</t>
  </si>
  <si>
    <t>1993-2005</t>
  </si>
  <si>
    <t>TOTAL 2005</t>
  </si>
  <si>
    <t>TOTAL 1998            *</t>
  </si>
  <si>
    <t>Ene-Oct 03</t>
  </si>
  <si>
    <t>Positiva Cía. de Seguros</t>
  </si>
  <si>
    <t>22.01.04</t>
  </si>
  <si>
    <t>03.02.04</t>
  </si>
  <si>
    <t>Refinería La Pampilla - Acciones Remanentes</t>
  </si>
  <si>
    <t>31.03.04</t>
  </si>
  <si>
    <t>23.03.04</t>
  </si>
  <si>
    <t xml:space="preserve">Corresponde al pago por la transferencia del 100% de acciones.   Adicionalmente, se efectuará el pago de US$184 M trimestrales como contraprestación </t>
  </si>
  <si>
    <t>US$ 1.00 MM por concepto de Primer Aporte Social</t>
  </si>
  <si>
    <t>US$ 15.40 MM por concepto de Aportes Periódicos.</t>
  </si>
  <si>
    <t>TOTAL 2003  **</t>
  </si>
  <si>
    <t>Se ajustó la inversión registrada toda vez que el avance registrado a esa fecha fue de aprox. 80% de la inversión total estimada en el proyecto, quedando una inversión por realizar para el 2004 y 2005 de US$ 54.94 MM.</t>
  </si>
  <si>
    <t>Mar-Ago 04</t>
  </si>
  <si>
    <t>TOTAL 2004  ***</t>
  </si>
  <si>
    <t>31.08.04</t>
  </si>
  <si>
    <t>Agroindustrias San Jacinto S.A.A. - Acciones</t>
  </si>
  <si>
    <t>TOTAL 2008</t>
  </si>
  <si>
    <t>30.04.07</t>
  </si>
  <si>
    <t>Mineria</t>
  </si>
  <si>
    <t>Proyecto Minero Michiquillay</t>
  </si>
  <si>
    <t>5 Inmuebles (ETECEN, Ministerio de Defensa SBN, F.A.)</t>
  </si>
  <si>
    <t>Ene - Dic. 07</t>
  </si>
  <si>
    <t>Los pagos por concepto del IGV ascienden a: US$ 9.05 Derecho por Contrato y US$ 18.99 MM Derecho de Usufructo.</t>
  </si>
  <si>
    <t>Se ejerció la opción de transferencia.   El importe de transacción incluye el pago por el periodo de opción.</t>
  </si>
  <si>
    <t>Tintaya: Inver. comprometida US$ 85MM y no comp. US$ 19MM (Contrato de Estabilidad MEM)</t>
  </si>
  <si>
    <t xml:space="preserve">(c4) </t>
  </si>
  <si>
    <t>Cajamarquillla: Inver. comprometida US$ 20MM y no comp.US$ 30MM (Contrato de Estabilidad MEM)</t>
  </si>
  <si>
    <t>Monto total luego del ajuste de precio debido a la auditoría de cierre.</t>
  </si>
  <si>
    <t>Venta mediante el programa de Participación Ciudadana: 1ra. campaña  en Nov. 94,  2da. campaña en Dic.94 y 3ra. campaña en Jun 95.</t>
  </si>
  <si>
    <t>Empresa Siderúgica del Perú S.A.A. - SIDERPERÚ</t>
  </si>
  <si>
    <t>28.06.06</t>
  </si>
  <si>
    <t>12.04.06</t>
  </si>
  <si>
    <t>En Jun 95 se vendieron 2  paradores turísticos al contado.</t>
  </si>
  <si>
    <t xml:space="preserve"> Incluye US$ 55M por terrenos transferidos a Fondepes.</t>
  </si>
  <si>
    <t>Incluye US$ 60MM en títulos de deuda externa, US$ 32MM x saldo de acciones.  Incluye emp. filiales Financiera San Pedro, Contidata y Almaconti.</t>
  </si>
  <si>
    <t>Venta con intervención de Participación Ciudadana.</t>
  </si>
  <si>
    <t>Sujetos al Programa de Promoción Empresarial.</t>
  </si>
  <si>
    <t>07.11.00</t>
  </si>
  <si>
    <t>Planta Lechera de Iquitos</t>
  </si>
  <si>
    <t>Se estima que el Estado percibirá ingresos de US$5,328 MM en términos corrientes durante dicho periodo.</t>
  </si>
  <si>
    <t>Involucra la venta del 60% de acciones del Estado, el 40% restante será ofrecido a través del mecanismo de Partic.Ciudadana.</t>
  </si>
  <si>
    <t>Incluye : al contadoUS$ 1.0MM, Diferido US$ 1.6MM.</t>
  </si>
  <si>
    <t>Venta del 60% de acciones. De los US$180.5MM ofrecidos, US$142.5 pago en efectivo y  US$38MM de papeles de deuda.</t>
  </si>
  <si>
    <t>Compromisos de inversión de por lo menos US$50.0MM en los próximos 5 años.</t>
  </si>
  <si>
    <t>Venta del 60% de acciones. Compromiso de inversión: instalar una planta de 100 MW en el plazo de 3 años.</t>
  </si>
  <si>
    <t>Venta del 100% de acciones.</t>
  </si>
  <si>
    <t xml:space="preserve"> Internacional 447´925,000 acc.a US$ 2.02 c/a. Institucional Local 19´930,095 acc.a S/5.02 c/a. Minorista Local 151´464,305 acc.a S/4.51c/a.</t>
  </si>
  <si>
    <t>Complejo Agroindustrial Cartavio S.A.A.</t>
  </si>
  <si>
    <t>22.07.10</t>
  </si>
  <si>
    <t>Empresa Agrícola San Juan S.A.</t>
  </si>
  <si>
    <t>Empresa Agroindustrial Casa Grande S.A.A.</t>
  </si>
  <si>
    <t>16.01.06</t>
  </si>
  <si>
    <t>25.01.06</t>
  </si>
  <si>
    <t>Venta mediante Promoción Empresarial: 40% al contado, el saldo en cuotas trimestrales en 3.5 años, interés Libor+2%.</t>
  </si>
  <si>
    <t>Luz del Sur : 1,171 trabajadores, 52,953,791 acciones. Edegel : 648 trabajadores, 61,129,728 acciones.</t>
  </si>
  <si>
    <t>20.12.10</t>
  </si>
  <si>
    <t>Venta acciones de empresa Inmobiliaria Milenia S.A. – INMISA</t>
  </si>
  <si>
    <t>Mercado de Capitales</t>
  </si>
  <si>
    <t xml:space="preserve">Venta del 100% de acciones. </t>
  </si>
  <si>
    <t>Venta mediante Promoción Empresarial: 20% al contado, el saldo en 8 años.  Incluye también venta de inventarios por US$ 137.69 M</t>
  </si>
  <si>
    <t>Etevensa:  8,255,880 acciones,  Cahua:  9,479,358 acciones,    Egenor:  68,384,484 acciones.</t>
  </si>
  <si>
    <t>Tercer Tramo: 389'168,526 acciones (equivalentes a 17.48% del capital social)  por S/. 291.88 MM.</t>
  </si>
  <si>
    <t>Concesión para la explotación de hidrocarburos de Camisea.   El consorcio ofertó 37.24% de regalías, se estima una inversión de US$1,600MM.</t>
  </si>
  <si>
    <t xml:space="preserve">Venta mediante Promoción Empresarial: 30% al contado, el saldo en cuotas trimestrales en 4 años, interés libor + 2%. </t>
  </si>
  <si>
    <t>Transferencia de los derechos mineros de Perro Ciego y La Carcajada por S$ 1.05 MM.</t>
  </si>
  <si>
    <t>Venta mediante Promoción Empresarial: 20% al contado, el saldo en 8 años, interés tasa Libor + 2%.   Compromiso de Inversión en 5 años.</t>
  </si>
  <si>
    <t xml:space="preserve">Venta mediante Promoción Empresarial: 20% al contado, el saldo en 4 años, interés tasa Libor + 2%. </t>
  </si>
  <si>
    <t xml:space="preserve">Venta mediante Promoción Empresarial: 25% al contado, el saldo en 6 años, interés tasa Libor + 2%.  </t>
  </si>
  <si>
    <t>Venta mediante Promoción Empresarial: 20% al contado, el saldo en 8 años, interés tasa Libor + 2%.</t>
  </si>
  <si>
    <t>a5</t>
  </si>
  <si>
    <t>Cesión de los lotes 8/8X por US$142.2MM de los cuales US$25.0MM son pagaderos en papeles de deuda.</t>
  </si>
  <si>
    <t>Compromiso de inversión de US$25.0MM en los próximos 5 años.</t>
  </si>
  <si>
    <t>TOTAL 2000</t>
  </si>
  <si>
    <t>27.01.00</t>
  </si>
  <si>
    <t>07.03.00</t>
  </si>
  <si>
    <t>Cahua y Pariac - Remanente acciones</t>
  </si>
  <si>
    <t>16.02.00</t>
  </si>
  <si>
    <t>a11</t>
  </si>
  <si>
    <t>El postor ganador ofreció el mayor monto de inversión a ser capitalizada y exigió menor número de acciones por esa inversión.</t>
  </si>
  <si>
    <t>d3</t>
  </si>
  <si>
    <t>TOTAL</t>
  </si>
  <si>
    <t>Venta mediante Promoción Empresarial: 50% al contado, el saldo en 4 años, interés tasa Libor + 2%.</t>
  </si>
  <si>
    <t>30.05.97</t>
  </si>
  <si>
    <t>07.05.97</t>
  </si>
  <si>
    <t>18.07.97</t>
  </si>
  <si>
    <t>Venta del 100% de acciones por US$ 127.78 MM.  Compromiso de inversión de US$ 60 MM en 5 años.</t>
  </si>
  <si>
    <t>10.07.97</t>
  </si>
  <si>
    <t>10.11.99</t>
  </si>
  <si>
    <t>09.12.99</t>
  </si>
  <si>
    <t>Fundo Tournavista</t>
  </si>
  <si>
    <t>d4</t>
  </si>
  <si>
    <t>04.08.97</t>
  </si>
  <si>
    <t>07.08.97</t>
  </si>
  <si>
    <t>ENATA - Inmuebles</t>
  </si>
  <si>
    <t>11.09.97</t>
  </si>
  <si>
    <t>Ampollas Farmacéuticas AMFA - Activos</t>
  </si>
  <si>
    <t>Transferencia de Electrica de Piura, bajo la modalidad de capitalización por US$ 40 MM y venta de acciones por US$ 19.67 MM.</t>
  </si>
  <si>
    <t>Transferencia de Metaloroya, bajo la modalidad de capitalización por US$ 126 MM y venta de acciones por US$ 121 MM.</t>
  </si>
  <si>
    <t>13 - 20.08.97</t>
  </si>
  <si>
    <t>31.10.97</t>
  </si>
  <si>
    <t xml:space="preserve">Talleres de Moyopampa S.A. </t>
  </si>
  <si>
    <t>14.11.97</t>
  </si>
  <si>
    <t>06.11.97</t>
  </si>
  <si>
    <t>27.10.97</t>
  </si>
  <si>
    <t>15.12.97</t>
  </si>
  <si>
    <t>SPL - Almacén de Productos Terminados APT</t>
  </si>
  <si>
    <t>19.12.97</t>
  </si>
  <si>
    <t>a6</t>
  </si>
  <si>
    <t>30.12.97</t>
  </si>
  <si>
    <t>29.11.97</t>
  </si>
  <si>
    <t xml:space="preserve">Monto luego del ajuste de precio por la auditoría de cierre. </t>
  </si>
  <si>
    <t>Pesca Perú Ilo Sur S.A.</t>
  </si>
  <si>
    <t>07.02.07</t>
  </si>
  <si>
    <t xml:space="preserve"> Venta mediante Promoción Empresarial:40% de cuota inicial, saldo en 5.5 años con 6 meses de gracia, Libor+2%.Inversión en 3 años.</t>
  </si>
  <si>
    <t>Ganadería</t>
  </si>
  <si>
    <t>23.11.99</t>
  </si>
  <si>
    <t>Primer Tramo: 150'000,000 acciones (equivalentes aprox. al 7% del capital social)  por S/. 103.5 MM.</t>
  </si>
  <si>
    <t>Inmuebles</t>
  </si>
  <si>
    <t>Segundo Tramo: 120'000,000 acciones (equivalentes a 5.39% del capital social)  por S/. 84.0 MM.</t>
  </si>
  <si>
    <t>26.11.99</t>
  </si>
  <si>
    <t>20.01.98</t>
  </si>
  <si>
    <t>06.02.98</t>
  </si>
  <si>
    <t>Planta de Cemento Rioja</t>
  </si>
  <si>
    <t>Agroindustria</t>
  </si>
  <si>
    <t>Tierras Eriazas  (384.20 has)</t>
  </si>
  <si>
    <t xml:space="preserve">Refinería La Pampilla - Venta a Trabajadores   </t>
  </si>
  <si>
    <t>30.03.98</t>
  </si>
  <si>
    <t>Pesca Perú Ilo Norte S.A.</t>
  </si>
  <si>
    <t>06.04.98</t>
  </si>
  <si>
    <t>07.10.99</t>
  </si>
  <si>
    <t xml:space="preserve">Acc.Egenor - Remanente acciones  </t>
  </si>
  <si>
    <t>Tierras P.E. Jequetepeque-Zaña (5,764 has)</t>
  </si>
  <si>
    <t>Tierras P.E. Chira - Piura (118 has)</t>
  </si>
  <si>
    <t>02.07.98</t>
  </si>
  <si>
    <t>10.07.98</t>
  </si>
  <si>
    <t>Empresa Minera Cobriza S.A.</t>
  </si>
  <si>
    <t>15.07.98</t>
  </si>
  <si>
    <t xml:space="preserve"> Internacional 29'344,119 acc.a US$ 0.585 c/a. Institucional Local 29'344,119 acc.a S/1.70 c/a. Minorista Local 58'688,237 acc.a S/1.615 c/a.</t>
  </si>
  <si>
    <t>07.08.98</t>
  </si>
  <si>
    <t>Minero Perú - Concesiones de INIFOM</t>
  </si>
  <si>
    <t>EMPRESA / PROYECTO</t>
  </si>
  <si>
    <t>26.08.98</t>
  </si>
  <si>
    <t>01.09.98</t>
  </si>
  <si>
    <t>Tierras P.E.Pastogrande - Pampa del Palo (94.52 has))</t>
  </si>
  <si>
    <t xml:space="preserve">Tierras P.E. Chavimochic - Etapa II, saldo Etapa I (1,952.99 has)  </t>
  </si>
  <si>
    <t>Tierras P.E.Majes - Siguas  (897 has)</t>
  </si>
  <si>
    <t>Transferencia de derechos mineros por US$20MM y una inversión comprometida de US$2,520 MM.</t>
  </si>
  <si>
    <t>28.10.98</t>
  </si>
  <si>
    <t>05.11.98</t>
  </si>
  <si>
    <t>Tierras P.E.Jequetepeque - Zaña  (5.1 has)</t>
  </si>
  <si>
    <t>25.11.98</t>
  </si>
  <si>
    <t>26.11.98</t>
  </si>
  <si>
    <t>02.12.98</t>
  </si>
  <si>
    <t>Corresponde a la venta del 30% de acciones.</t>
  </si>
  <si>
    <t>10.12.98</t>
  </si>
  <si>
    <t>02.02.99</t>
  </si>
  <si>
    <t xml:space="preserve">Acc.Luz del Sur.  - Remanente acciones </t>
  </si>
  <si>
    <t>a7</t>
  </si>
  <si>
    <t>30.03.99</t>
  </si>
  <si>
    <t>29.04.99</t>
  </si>
  <si>
    <t xml:space="preserve">Emp.Minera Paragsha S.A. (Cerro de Pasco)  </t>
  </si>
  <si>
    <t>a8</t>
  </si>
  <si>
    <t>28.05.99</t>
  </si>
  <si>
    <t>15.06.99</t>
  </si>
  <si>
    <t>Planta Lechera de Tacna S.A.</t>
  </si>
  <si>
    <t>08.07.99</t>
  </si>
  <si>
    <t>Cementos Norte Pacasmayo - Acciones remanentes</t>
  </si>
  <si>
    <t>21.07.99</t>
  </si>
  <si>
    <t>Telefónica - Remanente acciones</t>
  </si>
  <si>
    <t>12.08.99</t>
  </si>
  <si>
    <t>Tierras P.E. Chavimochic (1,092 has)</t>
  </si>
  <si>
    <t>22.07.99</t>
  </si>
  <si>
    <t>Tierras P.E. Chinecas (3,143  has)</t>
  </si>
  <si>
    <t>Inmuebles del Estado</t>
  </si>
  <si>
    <t>02.07.05</t>
  </si>
  <si>
    <t>Complejo Turístico El Chaco – La Puntilla - Lote C</t>
  </si>
  <si>
    <t>Ene - Dic 05</t>
  </si>
  <si>
    <t>Empresa Agraria El Ingenio</t>
  </si>
  <si>
    <t>16.12.05</t>
  </si>
  <si>
    <t>Proyecto Cuprífero La Granja</t>
  </si>
  <si>
    <t>Al tipo de cambio bancario del 28.10.08. T.C.= 3.104 Fuente: BCRP</t>
  </si>
  <si>
    <t>Ene - 4/Dic - 18</t>
  </si>
  <si>
    <t>Tierras P.E.Chavimochic  (1,961 has)</t>
  </si>
  <si>
    <t>Tierras P.E. Chavimochic (198 has)</t>
  </si>
  <si>
    <t>TOTAL 2006</t>
  </si>
  <si>
    <t>TOTAL 2007</t>
  </si>
  <si>
    <t>Tierras Eriazas  (3,119.03 has)</t>
  </si>
  <si>
    <t>Tierras P.E.Pasto Grande  (828 has)</t>
  </si>
  <si>
    <t>Tierras P.E.Chavimochic  (259.96 has)</t>
  </si>
  <si>
    <t>18.03.99</t>
  </si>
  <si>
    <t>Tierras P.E.Chira - Piura  (15.83 has)</t>
  </si>
  <si>
    <t>FECHA</t>
  </si>
  <si>
    <t>SECTOR</t>
  </si>
  <si>
    <t>Hidrocarburos</t>
  </si>
  <si>
    <t>Pesquería</t>
  </si>
  <si>
    <t>Industria</t>
  </si>
  <si>
    <t>Minería</t>
  </si>
  <si>
    <t>Electricidad</t>
  </si>
  <si>
    <t>Transportes</t>
  </si>
  <si>
    <t>A.VENTA ACCIONES Y/O ACTIVOS</t>
  </si>
  <si>
    <t>10.06.91</t>
  </si>
  <si>
    <t>01.07.05</t>
  </si>
  <si>
    <t>04.07.05</t>
  </si>
  <si>
    <t>Negociación Agrícola Vista Alegre S.A. - NAVASA</t>
  </si>
  <si>
    <t>Se vendieron 19.0001% de las acciones mediante subasta holandesa y 10% de las mismas a los accionistas mayoritarios en uso de su derecho de preferencia.</t>
  </si>
  <si>
    <t>10.08.09</t>
  </si>
  <si>
    <t>Venta en soles.  37.11% de las acciones adquiridas serán financiadas mediante pagos mensuales durante cinco años, con una tasa de 10% en soles.</t>
  </si>
  <si>
    <t>Entel CPT: Inversión comprometida US$ 1,200MM y no comprometida US$ 976MM. De los US$1,200MM comprometidos la empresa ha capitalizado US$ 610MM de acuerdo a condiciones de venta original (Ver Nota d1)</t>
  </si>
  <si>
    <t>Leasing a 20 años (US$ 10MM anuales).  Petroperú recibirá en promedio el 21.13% del petróleo y gas producido durante la concesión (30 años).</t>
  </si>
  <si>
    <t>En febrero de 1999 se pagó por adelantado el íntegro del saldo de capital para cuya amortización podría haber utilizado 20 semestres más, los que culminaban en febrero del año 2009.</t>
  </si>
  <si>
    <t>El monto de transacción registrado incluye US$40.2 MM pagados al contado a la firma del contrato, US$73.6 MM pagados por concepto de la parte diferida, US$40MM de valor nominal de títulos de deuda externa, US$0.8 MM por venta a trabajadores.</t>
  </si>
  <si>
    <t>El monto de venta incluye US$ 55MM de valor nominal de títulos de deuda externa.   Incluye el ajuste de precio a favor de Minero Perú por la auditoría de cierre.  También incluye honorario por éxito pagado en exceso.  Acta de acuerdo final suscrito por el Banco de Inversión, Banque Paribas.</t>
  </si>
  <si>
    <t>Incluye venta a Química del Pacífica por US$ 13.95 MM a ser pagado en 5 años con uno de gracia (30% de inicial y cuotas semestrales calculadas a Libor + 2%) y venta a trabajadores por S/. 867 M;    quedando un saldo de 147,875 acc. en reserva.</t>
  </si>
  <si>
    <t>En. 95: se vendieron 17 hoteles, en Mar.95 otros 14 hoteles.</t>
  </si>
  <si>
    <t>La mayoría de ellos serán pagados en cinco años, incluye un año de gracia: 30% de cuota inicial y cuotas semestrales a una tasa de Libor + 2%.  Los compromisos de inversión se llevarán a cabo en los siguientes 3 años.</t>
  </si>
  <si>
    <t>Venta de 4 unidades operativas: (i) Terminal Pesquero del Callao, (ii) Frigorífico de Huaraz, (iii) Mercado Mayorista y Frigorífico de Villa María, y (iv) Mercado Mayorista de Santa Rosa.  Las 3 primeras unidades han sido vendidas mediante Promoción Empresarial.</t>
  </si>
  <si>
    <t>105 612 000.00</t>
  </si>
  <si>
    <t>TOTAL 2010</t>
  </si>
  <si>
    <t>e2</t>
  </si>
  <si>
    <t>Al tipo de cambio bancario del 23.07.10. T.C.= 2.82 Fuente: BCRP</t>
  </si>
  <si>
    <t>Venta mediante Promoción Empresarial: 20% de cuota inicial y el saldo pagadero en cuotas semestrales durante 8 años, incluyendo 6 meses de gracia, a Libor + 2%.</t>
  </si>
  <si>
    <t>Venta mediante Promoción Empresarial: 30% de cuota inicial y el saldo pagadero en cuotas semestrales durante 5 años y medio incluyendo 6 meses de gracia a Libor + 2%</t>
  </si>
  <si>
    <t>Involucra venta del 60% de participación estatal, el 40% restante será vendido posteriormente en el mercado nacional (Partic.Ciudadana) e Internacional (Oferta Pública).</t>
  </si>
  <si>
    <t>Venta del 100% de acciones, bajo el Programa de Promoción Empresarial, 40% de cuota inicial y el saldo en cuotas semestrales en 5 años, a una tasa Libor +2%.</t>
  </si>
  <si>
    <t>Internacional 19,999,995 acc. a US$ 1.20 c/a.  Institucional Local 34,906,433 acc. a S/. 3.10.  Minorista Local 89,037,459 acciones a S/. 2.79 c/a (a plazos) y S/. 2.94 c/a (al contado).</t>
  </si>
  <si>
    <t>Pago por 3 años del derecho de vigencia.   Inversión comprometida de US$ 25MM.    Ejercieron afirmativamente la opción de compra debiendo pagar regalías al Estado.</t>
  </si>
  <si>
    <t>Venta de 56 lotes, 22 de los cuales se acogieron al Programa de Promoción Empresarial.  La realización de los compromisos de inversión fluctúa entre los dos y tres años.</t>
  </si>
  <si>
    <t>Corresponde a la venta de los activos del Complejo Agroindustrial de Chao por US$2.92 MM (sin IGV) conformado por la planta industrial y el área agrícola de 1,446 hectáreas netas.</t>
  </si>
  <si>
    <t>Corresponde al pago por la transferencia del 100% de acciones.   Adicionalmente, se efectuará el pago de US$221.5 M trimestrales como contraprestación por el derecho de usufructo y superficie por un período de 30 años sobre el terreno, edificaciones e instalaciones fijas del Almacén.</t>
  </si>
  <si>
    <t>Inversión estimada para que se habilite la planta existente para el  uso del  gas natural operando en ciclo simple en una primara etapa, y posteriormente, en una segunda etapa , en ciclo combinado.</t>
  </si>
  <si>
    <t>Corresponde al 100% de las acciones de la empresa.  Adicionalmente efectuará pagos de US$ 60 M + IGV trimestral para el Fondo de Saneamiento Ambiental de Centromín Perú S.A.</t>
  </si>
  <si>
    <t>Corresponde a la oferta presentada por Derecho por Contrato ascendente a US$53 MM (sin IGV), Derecho de Usufructo de US$ 105.5 MM (sin IGV) y el Aporte Social a ser pagado de acuerdo a las siguientes condiciones:</t>
  </si>
  <si>
    <t>US$ 1.50 MM por concepto de Segundo Aporte Social, monto al que se le añadirá US$ 4.46 que corresponde a la diferencia entre el monto de la oferta económica por Derecho por Contrato y el valor base del Derecho por Contrato.</t>
  </si>
  <si>
    <t xml:space="preserve">Adicionalmente a los US$ 3 MM, la compañía se obliga al pago del 3% de regalías sobre las ventas de cualquier tipo de mineral proveniente de la explotación del área de las concesiones mineras. </t>
  </si>
  <si>
    <t>Asimismo, por la oferta de producir roca fosfórica y ácido fosfórico equivalente a 3'420,600 toneladas métricas anuales, se estima que la obra ascendería en una primera fase de US$ 250 MM a US$300 MM, incluyendo la construcción de infraestructura, servicios, accesos, entre otros y facilidades portuarias para minería, etc.</t>
  </si>
  <si>
    <t>e1</t>
  </si>
  <si>
    <t>Correspondientes al pago por el Derecho de Suscripción de los Contratos de Operación a 15 años, ascendentes a US$ 3 MM por cada terminal, más los ingresos esperados por concepto de tarifas.</t>
  </si>
  <si>
    <t>Concesión para el diseño, construcción, y operación de las líneas de transmisión en 220 Kv:Socabayo-Moquegua; Moquegua-Tacna y Moquegua-Puno, con una inversión de US$74.48 MM.   El plazo del Contrato de Concesión es de 32 años.</t>
  </si>
  <si>
    <t>N°</t>
  </si>
  <si>
    <t>Interconexión Eléctrica ISA PERÚ S.A.</t>
  </si>
  <si>
    <t>Sogewiese Leasing</t>
  </si>
  <si>
    <t>Financiero</t>
  </si>
  <si>
    <t>19.07.91</t>
  </si>
  <si>
    <t>Minas Buenaventura</t>
  </si>
  <si>
    <t xml:space="preserve">TOTAL 1991 </t>
  </si>
  <si>
    <t>26.05.92</t>
  </si>
  <si>
    <t>Minera Condestable</t>
  </si>
  <si>
    <t>05.06.92</t>
  </si>
  <si>
    <t>Banco de Comercio</t>
  </si>
  <si>
    <t>06.12.92</t>
  </si>
  <si>
    <t xml:space="preserve">Grifos de Petroperú </t>
  </si>
  <si>
    <t>23.07.92</t>
  </si>
  <si>
    <t>Industrias Navales</t>
  </si>
  <si>
    <t>Astillero</t>
  </si>
  <si>
    <t>24.07.92</t>
  </si>
  <si>
    <t>Química del Pacífico</t>
  </si>
  <si>
    <t>Químicos</t>
  </si>
  <si>
    <t>07.08.92</t>
  </si>
  <si>
    <t>Buses Enatru</t>
  </si>
  <si>
    <t>Transporte</t>
  </si>
  <si>
    <t>21.08.92</t>
  </si>
  <si>
    <t>Solgas</t>
  </si>
  <si>
    <t>07.09.92</t>
  </si>
  <si>
    <t>Minpeco USA</t>
  </si>
  <si>
    <t>Trading</t>
  </si>
  <si>
    <t>05.11.92</t>
  </si>
  <si>
    <t>Hierro Perú</t>
  </si>
  <si>
    <t>(c)</t>
  </si>
  <si>
    <t>09.12.92</t>
  </si>
  <si>
    <t>Quellaveco</t>
  </si>
  <si>
    <t>TOTAL 1992</t>
  </si>
  <si>
    <t>16.01.93</t>
  </si>
  <si>
    <t>Aeroperú</t>
  </si>
  <si>
    <t>21.01.93</t>
  </si>
  <si>
    <t>Reactivos  Nacionales</t>
  </si>
  <si>
    <t>24.02.93</t>
  </si>
  <si>
    <t>23.07.93</t>
  </si>
  <si>
    <t>Sudamericana de Fibras</t>
  </si>
  <si>
    <t>Textiles</t>
  </si>
  <si>
    <t>22.07.93</t>
  </si>
  <si>
    <t>Ecasa  -  Almacén Santa Anita</t>
  </si>
  <si>
    <t>Comercio</t>
  </si>
  <si>
    <t>17.08.93</t>
  </si>
  <si>
    <t>Ertur  Arequipa</t>
  </si>
  <si>
    <t>26.08.93</t>
  </si>
  <si>
    <t>Eretru Trujillo</t>
  </si>
  <si>
    <t>04.11.93</t>
  </si>
  <si>
    <t>Banco Popular</t>
  </si>
  <si>
    <t>05.11.93</t>
  </si>
  <si>
    <t>Petrolera Transoceánica</t>
  </si>
  <si>
    <t>10.11.93</t>
  </si>
  <si>
    <t>16.11.93</t>
  </si>
  <si>
    <t>Sanmarti - SPL</t>
  </si>
  <si>
    <t>08.12.93</t>
  </si>
  <si>
    <t>Conversión Lima - SPL</t>
  </si>
  <si>
    <t>16.12.93</t>
  </si>
  <si>
    <t>Flopesca</t>
  </si>
  <si>
    <t>Buques/Pesq.</t>
  </si>
  <si>
    <t>TOTAL 1993</t>
  </si>
  <si>
    <t>31.01.94</t>
  </si>
  <si>
    <t>Chillón - SPL</t>
  </si>
  <si>
    <t>24.02.94</t>
  </si>
  <si>
    <t>Cemento Yura</t>
  </si>
  <si>
    <t>25.02.94</t>
  </si>
  <si>
    <t>Cerper</t>
  </si>
  <si>
    <t>28.02.94</t>
  </si>
  <si>
    <t>ENTEL - CPT</t>
  </si>
  <si>
    <t>Telecomunic.</t>
  </si>
  <si>
    <t>(c1)</t>
  </si>
  <si>
    <t>06.04.94</t>
  </si>
  <si>
    <t>01.09.04</t>
  </si>
  <si>
    <t>(c7)</t>
  </si>
  <si>
    <t>(c8)</t>
  </si>
  <si>
    <t>(c9)</t>
  </si>
  <si>
    <t>Pago de contraprestación periódica del 2.51% de las ventas netas efectuadas desde el primer semestre de 2005 y el segundo semestre de 2010 y que seguirá haciendose en forma semestral durante la vida de la mina.</t>
  </si>
  <si>
    <t>Inversión auditada durante el periodo de opción.</t>
  </si>
  <si>
    <t xml:space="preserve">Centromín - Proyecto Alto Chicama </t>
  </si>
  <si>
    <t>(c11)</t>
  </si>
  <si>
    <t>(c12)</t>
  </si>
  <si>
    <t>TOTAL 2009</t>
  </si>
  <si>
    <t>10.03.11</t>
  </si>
  <si>
    <t>Proyecto turístico El Chaco La Puntilla Lote D</t>
  </si>
  <si>
    <t>Pago por derecho de Opción. (ver Nº 255)</t>
  </si>
  <si>
    <t>Inversiones realizadas durante el periodo de Opción. (ver Nº 255)</t>
  </si>
  <si>
    <t>Pago por transferencia del Proyecto. (ver Nº 223)</t>
  </si>
  <si>
    <t>02.09.10</t>
  </si>
  <si>
    <t>TOTAL 2011</t>
  </si>
  <si>
    <t>c(9)</t>
  </si>
  <si>
    <t>19.12.98</t>
  </si>
  <si>
    <t>07.07.11</t>
  </si>
  <si>
    <t>Consorcio Hotelero del Norte</t>
  </si>
  <si>
    <t>13.07.11</t>
  </si>
  <si>
    <t>Ex Hoteles de Turistas (Iquitos)</t>
  </si>
  <si>
    <t>Ex Hoteles de Turistas (Chimbote)</t>
  </si>
  <si>
    <t>24.08.11</t>
  </si>
  <si>
    <t>Proyecto Minero Las Bambas (Transferencia)</t>
  </si>
  <si>
    <t xml:space="preserve">*  </t>
  </si>
  <si>
    <t>Mediante D.S. 228-2001-EF del 13/12/2001, se aprueba el Contrato de Reconocimiento de obligaciones, dación pago, transacción, extinción de derecho y obligaciones y pactos diversos, a suscribirse entre el FONAFE y JORBSA ELÉCTRICA S.A.C.</t>
  </si>
  <si>
    <t xml:space="preserve">**  </t>
  </si>
  <si>
    <t>El 17 de octubre de 2003 se realizó la Subasta Pública en el local de la Bolsa de Valores de Lima del crédito contenido en el Contrato de Compra Venta de Acciones de Electro Sur Medio por US$ 11 MM.</t>
  </si>
  <si>
    <t>TOTAL 2012</t>
  </si>
  <si>
    <t>18.05.12</t>
  </si>
  <si>
    <t>28.05.12</t>
  </si>
  <si>
    <t>Empresa Agroindustrial Pomalca</t>
  </si>
  <si>
    <t>Empresa Agroindustrial Tumán</t>
  </si>
  <si>
    <t>Venta del inmueble del FCR "Parque Unión" y "Fundo SAMAR"</t>
  </si>
  <si>
    <t>11.01.13</t>
  </si>
  <si>
    <t>Ex Hoteles de Turistas Monterrey Huaraz e Ica.</t>
  </si>
  <si>
    <t>TOTAL 2013</t>
  </si>
  <si>
    <t>Venta de acciones de las empresas Telefónica S.A. y Telefónica del Perú S.A.A.</t>
  </si>
  <si>
    <t>08 y 13.08.13</t>
  </si>
  <si>
    <t>(en dólares sin incluir IGV)</t>
  </si>
  <si>
    <r>
      <t>Petromar</t>
    </r>
    <r>
      <rPr>
        <vertAlign val="superscript"/>
        <sz val="10"/>
        <color indexed="8"/>
        <rFont val="Calibri"/>
        <family val="2"/>
      </rPr>
      <t>1</t>
    </r>
  </si>
  <si>
    <r>
      <t xml:space="preserve">Cerro Verde </t>
    </r>
    <r>
      <rPr>
        <vertAlign val="superscript"/>
        <sz val="10"/>
        <color indexed="8"/>
        <rFont val="Calibri"/>
        <family val="2"/>
      </rPr>
      <t>2</t>
    </r>
  </si>
  <si>
    <r>
      <t xml:space="preserve">Tintaya </t>
    </r>
    <r>
      <rPr>
        <vertAlign val="superscript"/>
        <sz val="10"/>
        <color indexed="8"/>
        <rFont val="Calibri"/>
        <family val="2"/>
      </rPr>
      <t>4</t>
    </r>
  </si>
  <si>
    <r>
      <t>Ref. de Cajamarquilla</t>
    </r>
    <r>
      <rPr>
        <vertAlign val="superscript"/>
        <sz val="10"/>
        <color indexed="8"/>
        <rFont val="Calibri"/>
        <family val="2"/>
      </rPr>
      <t xml:space="preserve"> 5</t>
    </r>
  </si>
  <si>
    <r>
      <t xml:space="preserve">Cementos Norte Pacasmayo </t>
    </r>
    <r>
      <rPr>
        <vertAlign val="superscript"/>
        <sz val="10"/>
        <color indexed="8"/>
        <rFont val="Calibri"/>
        <family val="2"/>
      </rPr>
      <t>6</t>
    </r>
  </si>
  <si>
    <r>
      <t xml:space="preserve">Emsal </t>
    </r>
    <r>
      <rPr>
        <vertAlign val="superscript"/>
        <sz val="10"/>
        <color indexed="8"/>
        <rFont val="Calibri"/>
        <family val="2"/>
      </rPr>
      <t>7</t>
    </r>
  </si>
  <si>
    <r>
      <t xml:space="preserve">Hoteles de Turistas </t>
    </r>
    <r>
      <rPr>
        <vertAlign val="superscript"/>
        <sz val="10"/>
        <color indexed="8"/>
        <rFont val="Calibri"/>
        <family val="2"/>
      </rPr>
      <t>8</t>
    </r>
  </si>
  <si>
    <r>
      <t xml:space="preserve">Entel Perú - trabajadores </t>
    </r>
    <r>
      <rPr>
        <vertAlign val="superscript"/>
        <sz val="10"/>
        <color indexed="8"/>
        <rFont val="Calibri"/>
        <family val="2"/>
      </rPr>
      <t>9</t>
    </r>
  </si>
  <si>
    <r>
      <t xml:space="preserve">Epsep - Activos </t>
    </r>
    <r>
      <rPr>
        <vertAlign val="superscript"/>
        <sz val="10"/>
        <color indexed="8"/>
        <rFont val="Calibri"/>
        <family val="2"/>
      </rPr>
      <t>10</t>
    </r>
  </si>
  <si>
    <r>
      <t xml:space="preserve">Pesq.Grau-Compl.Paita </t>
    </r>
    <r>
      <rPr>
        <vertAlign val="superscript"/>
        <sz val="10"/>
        <color indexed="8"/>
        <rFont val="Calibri"/>
        <family val="2"/>
      </rPr>
      <t>11</t>
    </r>
  </si>
  <si>
    <r>
      <t xml:space="preserve">Banco Continental </t>
    </r>
    <r>
      <rPr>
        <vertAlign val="superscript"/>
        <sz val="10"/>
        <color indexed="8"/>
        <rFont val="Calibri"/>
        <family val="2"/>
      </rPr>
      <t>12</t>
    </r>
  </si>
  <si>
    <r>
      <t xml:space="preserve">Cahua </t>
    </r>
    <r>
      <rPr>
        <vertAlign val="superscript"/>
        <sz val="10"/>
        <color indexed="8"/>
        <rFont val="Calibri"/>
        <family val="2"/>
      </rPr>
      <t>13</t>
    </r>
  </si>
  <si>
    <r>
      <t xml:space="preserve">Hotel Turistas Chiclayo,  H.Tingo María </t>
    </r>
    <r>
      <rPr>
        <vertAlign val="superscript"/>
        <sz val="10"/>
        <color indexed="8"/>
        <rFont val="Calibri"/>
        <family val="2"/>
      </rPr>
      <t>8</t>
    </r>
  </si>
  <si>
    <r>
      <t xml:space="preserve">Compl. Pesq. Samanco </t>
    </r>
    <r>
      <rPr>
        <vertAlign val="superscript"/>
        <sz val="10"/>
        <color indexed="8"/>
        <rFont val="Calibri"/>
        <family val="2"/>
      </rPr>
      <t>14</t>
    </r>
  </si>
  <si>
    <r>
      <t xml:space="preserve">Cem. N. Pacasmayo </t>
    </r>
    <r>
      <rPr>
        <vertAlign val="superscript"/>
        <sz val="10"/>
        <color indexed="8"/>
        <rFont val="Calibri"/>
        <family val="2"/>
      </rPr>
      <t>6</t>
    </r>
  </si>
  <si>
    <r>
      <t xml:space="preserve">Edelnor - Trabajadores </t>
    </r>
    <r>
      <rPr>
        <vertAlign val="superscript"/>
        <sz val="10"/>
        <color indexed="8"/>
        <rFont val="Calibri"/>
        <family val="2"/>
      </rPr>
      <t>16</t>
    </r>
  </si>
  <si>
    <r>
      <t xml:space="preserve">Banco Continental - Saldo Acc.     </t>
    </r>
    <r>
      <rPr>
        <vertAlign val="superscript"/>
        <sz val="10"/>
        <color indexed="8"/>
        <rFont val="Calibri"/>
        <family val="2"/>
      </rPr>
      <t>12</t>
    </r>
  </si>
  <si>
    <r>
      <t xml:space="preserve">Edegel  </t>
    </r>
    <r>
      <rPr>
        <vertAlign val="superscript"/>
        <sz val="10"/>
        <color indexed="8"/>
        <rFont val="Calibri"/>
        <family val="2"/>
      </rPr>
      <t>17</t>
    </r>
  </si>
  <si>
    <r>
      <t xml:space="preserve">Cemento Sur S.A.  </t>
    </r>
    <r>
      <rPr>
        <vertAlign val="superscript"/>
        <sz val="10"/>
        <color indexed="8"/>
        <rFont val="Calibri"/>
        <family val="2"/>
      </rPr>
      <t>18</t>
    </r>
  </si>
  <si>
    <r>
      <t xml:space="preserve">Epersur - Equipos de Frío </t>
    </r>
    <r>
      <rPr>
        <vertAlign val="superscript"/>
        <sz val="10"/>
        <color indexed="8"/>
        <rFont val="Calibri"/>
        <family val="2"/>
      </rPr>
      <t>19</t>
    </r>
  </si>
  <si>
    <r>
      <t xml:space="preserve">Epersur - Frigorífico Pesquero de Tacna </t>
    </r>
    <r>
      <rPr>
        <vertAlign val="superscript"/>
        <sz val="10"/>
        <color indexed="8"/>
        <rFont val="Calibri"/>
        <family val="2"/>
      </rPr>
      <t>19</t>
    </r>
  </si>
  <si>
    <r>
      <t xml:space="preserve">EDE - Chancay   </t>
    </r>
    <r>
      <rPr>
        <vertAlign val="superscript"/>
        <sz val="10"/>
        <color indexed="8"/>
        <rFont val="Calibri"/>
        <family val="2"/>
      </rPr>
      <t>20</t>
    </r>
  </si>
  <si>
    <r>
      <t xml:space="preserve">Sider Perú S.A. </t>
    </r>
    <r>
      <rPr>
        <vertAlign val="superscript"/>
        <sz val="10"/>
        <color indexed="8"/>
        <rFont val="Calibri"/>
        <family val="2"/>
      </rPr>
      <t>21</t>
    </r>
  </si>
  <si>
    <r>
      <t xml:space="preserve">Sider Perú S.A. - Trabajadores </t>
    </r>
    <r>
      <rPr>
        <vertAlign val="superscript"/>
        <sz val="10"/>
        <color indexed="8"/>
        <rFont val="Calibri"/>
        <family val="2"/>
      </rPr>
      <t>22</t>
    </r>
  </si>
  <si>
    <r>
      <t xml:space="preserve">Epersur - Complejo Industrial de Ilo </t>
    </r>
    <r>
      <rPr>
        <vertAlign val="superscript"/>
        <sz val="10"/>
        <color indexed="8"/>
        <rFont val="Calibri"/>
        <family val="2"/>
      </rPr>
      <t>19</t>
    </r>
  </si>
  <si>
    <r>
      <t xml:space="preserve">Petroperú - Refinería la Pampilla  </t>
    </r>
    <r>
      <rPr>
        <vertAlign val="superscript"/>
        <sz val="10"/>
        <color indexed="8"/>
        <rFont val="Calibri"/>
        <family val="2"/>
      </rPr>
      <t>23</t>
    </r>
  </si>
  <si>
    <r>
      <t xml:space="preserve">Petroperú - Lotes 8/8X   </t>
    </r>
    <r>
      <rPr>
        <vertAlign val="superscript"/>
        <sz val="10"/>
        <color indexed="8"/>
        <rFont val="Calibri"/>
        <family val="2"/>
      </rPr>
      <t>a5</t>
    </r>
  </si>
  <si>
    <r>
      <t xml:space="preserve">Empresa de Generación Eléctrica Nor Perú S.A. </t>
    </r>
    <r>
      <rPr>
        <vertAlign val="superscript"/>
        <sz val="10"/>
        <color indexed="8"/>
        <rFont val="Calibri"/>
        <family val="2"/>
      </rPr>
      <t>24</t>
    </r>
  </si>
  <si>
    <r>
      <t xml:space="preserve">Empresa de Distribución Eléctrica de Cañete S.A. </t>
    </r>
    <r>
      <rPr>
        <vertAlign val="superscript"/>
        <sz val="10"/>
        <color indexed="8"/>
        <rFont val="Calibri"/>
        <family val="2"/>
      </rPr>
      <t>25</t>
    </r>
  </si>
  <si>
    <r>
      <t xml:space="preserve">Acc. Telefónica del Perú S.A. T.Institucional Local </t>
    </r>
    <r>
      <rPr>
        <vertAlign val="superscript"/>
        <sz val="10"/>
        <color indexed="8"/>
        <rFont val="Calibri"/>
        <family val="2"/>
      </rPr>
      <t>26</t>
    </r>
  </si>
  <si>
    <r>
      <t xml:space="preserve">Acc.Telefónica del Perú S.A. T. Minorista Local </t>
    </r>
    <r>
      <rPr>
        <vertAlign val="superscript"/>
        <sz val="10"/>
        <color indexed="8"/>
        <rFont val="Calibri"/>
        <family val="2"/>
      </rPr>
      <t>26</t>
    </r>
  </si>
  <si>
    <r>
      <t xml:space="preserve">Acc. Telefónica del Perú S.A.-T.Internacional  </t>
    </r>
    <r>
      <rPr>
        <vertAlign val="superscript"/>
        <sz val="10"/>
        <color indexed="8"/>
        <rFont val="Calibri"/>
        <family val="2"/>
      </rPr>
      <t>26</t>
    </r>
  </si>
  <si>
    <r>
      <t xml:space="preserve">Centromin - Proyecto  Minero Antamina </t>
    </r>
    <r>
      <rPr>
        <vertAlign val="superscript"/>
        <sz val="10"/>
        <color indexed="8"/>
        <rFont val="Calibri"/>
        <family val="2"/>
      </rPr>
      <t>27</t>
    </r>
  </si>
  <si>
    <r>
      <t xml:space="preserve">Pesca Perú Chimbote Sur S.A. </t>
    </r>
    <r>
      <rPr>
        <vertAlign val="superscript"/>
        <sz val="10"/>
        <color indexed="8"/>
        <rFont val="Calibri"/>
        <family val="2"/>
      </rPr>
      <t>28</t>
    </r>
  </si>
  <si>
    <r>
      <t xml:space="preserve">Pesca Perú Supe Sur S.A. </t>
    </r>
    <r>
      <rPr>
        <vertAlign val="superscript"/>
        <sz val="10"/>
        <color indexed="8"/>
        <rFont val="Calibri"/>
        <family val="2"/>
      </rPr>
      <t>28</t>
    </r>
  </si>
  <si>
    <r>
      <t xml:space="preserve">Luz del Sur - Venta a Trabajadores </t>
    </r>
    <r>
      <rPr>
        <vertAlign val="superscript"/>
        <sz val="10"/>
        <color indexed="8"/>
        <rFont val="Calibri"/>
        <family val="2"/>
      </rPr>
      <t>29</t>
    </r>
  </si>
  <si>
    <r>
      <t xml:space="preserve">Edegel - Venta a trabajadores </t>
    </r>
    <r>
      <rPr>
        <vertAlign val="superscript"/>
        <sz val="10"/>
        <color indexed="8"/>
        <rFont val="Calibri"/>
        <family val="2"/>
      </rPr>
      <t>29</t>
    </r>
  </si>
  <si>
    <r>
      <t xml:space="preserve">Petrolube S.A. </t>
    </r>
    <r>
      <rPr>
        <vertAlign val="superscript"/>
        <sz val="10"/>
        <color indexed="8"/>
        <rFont val="Calibri"/>
        <family val="2"/>
      </rPr>
      <t>30</t>
    </r>
  </si>
  <si>
    <r>
      <t xml:space="preserve">Pesca Perú Refinería de Ilo S.A. </t>
    </r>
    <r>
      <rPr>
        <vertAlign val="superscript"/>
        <sz val="10"/>
        <color indexed="8"/>
        <rFont val="Calibri"/>
        <family val="2"/>
      </rPr>
      <t>19</t>
    </r>
  </si>
  <si>
    <r>
      <t xml:space="preserve">Empresa Eléctrica de Piura - EEP   </t>
    </r>
    <r>
      <rPr>
        <vertAlign val="superscript"/>
        <sz val="10"/>
        <color indexed="8"/>
        <rFont val="Calibri"/>
        <family val="2"/>
      </rPr>
      <t>d3</t>
    </r>
  </si>
  <si>
    <r>
      <t xml:space="preserve">Industrial Cachimayo S.A. </t>
    </r>
    <r>
      <rPr>
        <vertAlign val="superscript"/>
        <sz val="10"/>
        <color indexed="8"/>
        <rFont val="Calibri"/>
        <family val="2"/>
      </rPr>
      <t>31</t>
    </r>
  </si>
  <si>
    <r>
      <t xml:space="preserve">Etevensa - Venta a Trabajadores </t>
    </r>
    <r>
      <rPr>
        <vertAlign val="superscript"/>
        <sz val="10"/>
        <color indexed="8"/>
        <rFont val="Calibri"/>
        <family val="2"/>
      </rPr>
      <t>32</t>
    </r>
  </si>
  <si>
    <r>
      <t xml:space="preserve">Cahua - Venta a Trabajadores </t>
    </r>
    <r>
      <rPr>
        <vertAlign val="superscript"/>
        <sz val="10"/>
        <color indexed="8"/>
        <rFont val="Calibri"/>
        <family val="2"/>
      </rPr>
      <t>32</t>
    </r>
  </si>
  <si>
    <r>
      <t xml:space="preserve">Egenor - Venta a Trabajadores </t>
    </r>
    <r>
      <rPr>
        <vertAlign val="superscript"/>
        <sz val="10"/>
        <color indexed="8"/>
        <rFont val="Calibri"/>
        <family val="2"/>
      </rPr>
      <t>32</t>
    </r>
  </si>
  <si>
    <r>
      <t>Pesca Perú Chancay</t>
    </r>
    <r>
      <rPr>
        <vertAlign val="superscript"/>
        <sz val="10"/>
        <color indexed="8"/>
        <rFont val="Calibri"/>
        <family val="2"/>
      </rPr>
      <t xml:space="preserve"> 33</t>
    </r>
  </si>
  <si>
    <r>
      <t xml:space="preserve">Acc.Luz del Sur.  T.Internacional  </t>
    </r>
    <r>
      <rPr>
        <vertAlign val="superscript"/>
        <sz val="10"/>
        <color indexed="8"/>
        <rFont val="Calibri"/>
        <family val="2"/>
      </rPr>
      <t>36</t>
    </r>
  </si>
  <si>
    <r>
      <t xml:space="preserve">Acc.Luz del Sur.  T.Institucional Local </t>
    </r>
    <r>
      <rPr>
        <vertAlign val="superscript"/>
        <sz val="10"/>
        <color indexed="8"/>
        <rFont val="Calibri"/>
        <family val="2"/>
      </rPr>
      <t xml:space="preserve"> 36</t>
    </r>
  </si>
  <si>
    <r>
      <t xml:space="preserve">Acc.Luz del Sur.  T.Minorista Local </t>
    </r>
    <r>
      <rPr>
        <vertAlign val="superscript"/>
        <sz val="10"/>
        <color indexed="8"/>
        <rFont val="Calibri"/>
        <family val="2"/>
      </rPr>
      <t>36</t>
    </r>
  </si>
  <si>
    <r>
      <t xml:space="preserve">Pesca Perú Huacho S.A.  </t>
    </r>
    <r>
      <rPr>
        <vertAlign val="superscript"/>
        <sz val="10"/>
        <color indexed="8"/>
        <rFont val="Calibri"/>
        <family val="2"/>
      </rPr>
      <t>33</t>
    </r>
  </si>
  <si>
    <r>
      <t xml:space="preserve">Pesca Perú Callao Norte S.A. </t>
    </r>
    <r>
      <rPr>
        <vertAlign val="superscript"/>
        <sz val="10"/>
        <color indexed="8"/>
        <rFont val="Calibri"/>
        <family val="2"/>
      </rPr>
      <t xml:space="preserve"> 33</t>
    </r>
  </si>
  <si>
    <r>
      <t xml:space="preserve">Pesca Perú Refinería Chimbote S.A. </t>
    </r>
    <r>
      <rPr>
        <vertAlign val="superscript"/>
        <sz val="10"/>
        <color indexed="8"/>
        <rFont val="Calibri"/>
        <family val="2"/>
      </rPr>
      <t xml:space="preserve"> 33</t>
    </r>
  </si>
  <si>
    <r>
      <t xml:space="preserve">Electro Sur Medio S.A.   </t>
    </r>
    <r>
      <rPr>
        <vertAlign val="superscript"/>
        <sz val="10"/>
        <color indexed="8"/>
        <rFont val="Calibri"/>
        <family val="2"/>
      </rPr>
      <t xml:space="preserve"> 37</t>
    </r>
  </si>
  <si>
    <r>
      <t>Empresa Minera Yauliyacu S.A.</t>
    </r>
    <r>
      <rPr>
        <vertAlign val="superscript"/>
        <sz val="10"/>
        <color indexed="8"/>
        <rFont val="Calibri"/>
        <family val="2"/>
      </rPr>
      <t xml:space="preserve"> 34</t>
    </r>
  </si>
  <si>
    <r>
      <t xml:space="preserve">Centromín - La Carcajada y Perro Ciego </t>
    </r>
    <r>
      <rPr>
        <vertAlign val="superscript"/>
        <sz val="10"/>
        <color indexed="8"/>
        <rFont val="Calibri"/>
        <family val="2"/>
      </rPr>
      <t>35</t>
    </r>
  </si>
  <si>
    <r>
      <t xml:space="preserve">Emp. Radio Panamericana S.A. y Emp.Difusora Radio Tele </t>
    </r>
    <r>
      <rPr>
        <vertAlign val="superscript"/>
        <sz val="10"/>
        <color indexed="8"/>
        <rFont val="Calibri"/>
        <family val="2"/>
      </rPr>
      <t>38</t>
    </r>
  </si>
  <si>
    <r>
      <t xml:space="preserve">Planta Lechera de Sullana S.A. </t>
    </r>
    <r>
      <rPr>
        <vertAlign val="superscript"/>
        <sz val="10"/>
        <color indexed="8"/>
        <rFont val="Calibri"/>
        <family val="2"/>
      </rPr>
      <t xml:space="preserve"> 39</t>
    </r>
  </si>
  <si>
    <r>
      <t xml:space="preserve">SPL - Módulo Trupal  </t>
    </r>
    <r>
      <rPr>
        <vertAlign val="superscript"/>
        <sz val="10"/>
        <color indexed="8"/>
        <rFont val="Calibri"/>
        <family val="2"/>
      </rPr>
      <t xml:space="preserve"> 40</t>
    </r>
  </si>
  <si>
    <r>
      <t xml:space="preserve">Pesca Perú Tambo de Mora Sur S.A. </t>
    </r>
    <r>
      <rPr>
        <vertAlign val="superscript"/>
        <sz val="10"/>
        <color indexed="8"/>
        <rFont val="Calibri"/>
        <family val="2"/>
      </rPr>
      <t xml:space="preserve"> 41</t>
    </r>
  </si>
  <si>
    <r>
      <t xml:space="preserve">Pesca Perú Refinería Callao S.A. </t>
    </r>
    <r>
      <rPr>
        <vertAlign val="superscript"/>
        <sz val="10"/>
        <color indexed="8"/>
        <rFont val="Calibri"/>
        <family val="2"/>
      </rPr>
      <t>33</t>
    </r>
  </si>
  <si>
    <r>
      <t xml:space="preserve">Minero Perú - Las Huaquillas </t>
    </r>
    <r>
      <rPr>
        <vertAlign val="superscript"/>
        <sz val="10"/>
        <color indexed="8"/>
        <rFont val="Calibri"/>
        <family val="2"/>
      </rPr>
      <t>42</t>
    </r>
  </si>
  <si>
    <r>
      <t xml:space="preserve">ENATA - Planta Industrial de Ate  </t>
    </r>
    <r>
      <rPr>
        <vertAlign val="superscript"/>
        <sz val="10"/>
        <color indexed="8"/>
        <rFont val="Calibri"/>
        <family val="2"/>
      </rPr>
      <t>40</t>
    </r>
  </si>
  <si>
    <r>
      <t xml:space="preserve">Empresa Metalúrgica de la Oroya S.A. </t>
    </r>
    <r>
      <rPr>
        <vertAlign val="superscript"/>
        <sz val="10"/>
        <color indexed="8"/>
        <rFont val="Calibri"/>
        <family val="2"/>
      </rPr>
      <t xml:space="preserve">  d4</t>
    </r>
  </si>
  <si>
    <r>
      <t xml:space="preserve">Empresa Minera Mahr Túnel S.A.  </t>
    </r>
    <r>
      <rPr>
        <vertAlign val="superscript"/>
        <sz val="10"/>
        <color indexed="8"/>
        <rFont val="Calibri"/>
        <family val="2"/>
      </rPr>
      <t>44</t>
    </r>
  </si>
  <si>
    <r>
      <t xml:space="preserve">Pesca Perú Tambo de Mora Norte S.A. </t>
    </r>
    <r>
      <rPr>
        <vertAlign val="superscript"/>
        <sz val="10"/>
        <color indexed="8"/>
        <rFont val="Calibri"/>
        <family val="2"/>
      </rPr>
      <t xml:space="preserve">  33</t>
    </r>
  </si>
  <si>
    <r>
      <t xml:space="preserve">Tierras P.E. Chavimochic - Etapa I (6,456 has.)  </t>
    </r>
    <r>
      <rPr>
        <vertAlign val="superscript"/>
        <sz val="10"/>
        <color indexed="8"/>
        <rFont val="Calibri"/>
        <family val="2"/>
      </rPr>
      <t xml:space="preserve"> 45</t>
    </r>
  </si>
  <si>
    <r>
      <t xml:space="preserve">Yacimiento Berenguela  </t>
    </r>
    <r>
      <rPr>
        <vertAlign val="superscript"/>
        <sz val="10"/>
        <color indexed="8"/>
        <rFont val="Calibri"/>
        <family val="2"/>
      </rPr>
      <t xml:space="preserve"> 46</t>
    </r>
  </si>
  <si>
    <r>
      <t xml:space="preserve">SPL - Módulo Químico    </t>
    </r>
    <r>
      <rPr>
        <vertAlign val="superscript"/>
        <sz val="10"/>
        <color indexed="8"/>
        <rFont val="Calibri"/>
        <family val="2"/>
      </rPr>
      <t>40</t>
    </r>
  </si>
  <si>
    <r>
      <t xml:space="preserve">Pesca Perú Refinería Pisco S.A.  </t>
    </r>
    <r>
      <rPr>
        <vertAlign val="superscript"/>
        <sz val="10"/>
        <color indexed="8"/>
        <rFont val="Calibri"/>
        <family val="2"/>
      </rPr>
      <t>19</t>
    </r>
  </si>
  <si>
    <r>
      <t xml:space="preserve">Pesca Perú Refinería Supe S.A.  </t>
    </r>
    <r>
      <rPr>
        <vertAlign val="superscript"/>
        <sz val="10"/>
        <color indexed="8"/>
        <rFont val="Calibri"/>
        <family val="2"/>
      </rPr>
      <t>19</t>
    </r>
  </si>
  <si>
    <r>
      <t xml:space="preserve">Petroperú - Terminales del Norte </t>
    </r>
    <r>
      <rPr>
        <vertAlign val="superscript"/>
        <sz val="10"/>
        <color indexed="8"/>
        <rFont val="Calibri"/>
        <family val="2"/>
      </rPr>
      <t>a6</t>
    </r>
  </si>
  <si>
    <r>
      <t xml:space="preserve">Petroperú - Terminales del Centro </t>
    </r>
    <r>
      <rPr>
        <vertAlign val="superscript"/>
        <sz val="10"/>
        <color indexed="8"/>
        <rFont val="Calibri"/>
        <family val="2"/>
      </rPr>
      <t>a7</t>
    </r>
  </si>
  <si>
    <r>
      <t xml:space="preserve">Petroperú - Terminales del Sur </t>
    </r>
    <r>
      <rPr>
        <vertAlign val="superscript"/>
        <sz val="10"/>
        <color indexed="8"/>
        <rFont val="Calibri"/>
        <family val="2"/>
      </rPr>
      <t>a8</t>
    </r>
  </si>
  <si>
    <r>
      <t xml:space="preserve">Pesca Perú Callao Sur S.A.  </t>
    </r>
    <r>
      <rPr>
        <vertAlign val="superscript"/>
        <sz val="10"/>
        <color indexed="8"/>
        <rFont val="Calibri"/>
        <family val="2"/>
      </rPr>
      <t>19</t>
    </r>
  </si>
  <si>
    <r>
      <t xml:space="preserve">Pesca Perú Chimbote Norte S.A.  </t>
    </r>
    <r>
      <rPr>
        <vertAlign val="superscript"/>
        <sz val="10"/>
        <color indexed="8"/>
        <rFont val="Calibri"/>
        <family val="2"/>
      </rPr>
      <t>19</t>
    </r>
  </si>
  <si>
    <r>
      <t xml:space="preserve">Pesca Perú Pisco Sur S.A.  </t>
    </r>
    <r>
      <rPr>
        <vertAlign val="superscript"/>
        <sz val="10"/>
        <color indexed="8"/>
        <rFont val="Calibri"/>
        <family val="2"/>
      </rPr>
      <t>19</t>
    </r>
  </si>
  <si>
    <r>
      <t xml:space="preserve">Emp.Reg.Ganadera Ucayali - activos   </t>
    </r>
    <r>
      <rPr>
        <vertAlign val="superscript"/>
        <sz val="10"/>
        <color indexed="8"/>
        <rFont val="Calibri"/>
        <family val="2"/>
      </rPr>
      <t>19</t>
    </r>
  </si>
  <si>
    <r>
      <t xml:space="preserve">Pesca Perú Pisco Norte S.A.   </t>
    </r>
    <r>
      <rPr>
        <vertAlign val="superscript"/>
        <sz val="10"/>
        <color indexed="8"/>
        <rFont val="Calibri"/>
        <family val="2"/>
      </rPr>
      <t>19</t>
    </r>
  </si>
  <si>
    <r>
      <t xml:space="preserve">Tierras P.E.Pastogrande - Zona Pampa Estuquiña (60 has) </t>
    </r>
    <r>
      <rPr>
        <vertAlign val="superscript"/>
        <sz val="10"/>
        <color indexed="8"/>
        <rFont val="Calibri"/>
        <family val="2"/>
      </rPr>
      <t>19</t>
    </r>
  </si>
  <si>
    <r>
      <t xml:space="preserve">Acc. Banco Continental - Tramo Internacional </t>
    </r>
    <r>
      <rPr>
        <vertAlign val="superscript"/>
        <sz val="10"/>
        <color indexed="8"/>
        <rFont val="Calibri"/>
        <family val="2"/>
      </rPr>
      <t xml:space="preserve"> 47</t>
    </r>
  </si>
  <si>
    <r>
      <t xml:space="preserve">Acc. Banco Continental - Tramo Institucional Local </t>
    </r>
    <r>
      <rPr>
        <vertAlign val="superscript"/>
        <sz val="10"/>
        <color indexed="8"/>
        <rFont val="Calibri"/>
        <family val="2"/>
      </rPr>
      <t xml:space="preserve"> 47</t>
    </r>
  </si>
  <si>
    <r>
      <t xml:space="preserve">Acc. Banco Continental - Tramo Minorista Local  </t>
    </r>
    <r>
      <rPr>
        <vertAlign val="superscript"/>
        <sz val="10"/>
        <color indexed="8"/>
        <rFont val="Calibri"/>
        <family val="2"/>
      </rPr>
      <t>47</t>
    </r>
  </si>
  <si>
    <r>
      <t xml:space="preserve">Complejo Agroindustrial de Chao    </t>
    </r>
    <r>
      <rPr>
        <vertAlign val="superscript"/>
        <sz val="10"/>
        <color indexed="8"/>
        <rFont val="Calibri"/>
        <family val="2"/>
      </rPr>
      <t>48</t>
    </r>
  </si>
  <si>
    <r>
      <t xml:space="preserve">Electro Norte S.A.  </t>
    </r>
    <r>
      <rPr>
        <vertAlign val="superscript"/>
        <sz val="10"/>
        <color indexed="8"/>
        <rFont val="Calibri"/>
        <family val="2"/>
      </rPr>
      <t xml:space="preserve">49              </t>
    </r>
    <r>
      <rPr>
        <sz val="10"/>
        <color indexed="8"/>
        <rFont val="Calibri"/>
        <family val="2"/>
      </rPr>
      <t>*</t>
    </r>
  </si>
  <si>
    <r>
      <t xml:space="preserve">Electro Centro S.A. </t>
    </r>
    <r>
      <rPr>
        <vertAlign val="superscript"/>
        <sz val="10"/>
        <color indexed="8"/>
        <rFont val="Calibri"/>
        <family val="2"/>
      </rPr>
      <t xml:space="preserve"> 49            </t>
    </r>
    <r>
      <rPr>
        <sz val="10"/>
        <color indexed="8"/>
        <rFont val="Calibri"/>
        <family val="2"/>
      </rPr>
      <t xml:space="preserve"> *</t>
    </r>
  </si>
  <si>
    <r>
      <t xml:space="preserve">Electro Noroeste  S.A.  </t>
    </r>
    <r>
      <rPr>
        <vertAlign val="superscript"/>
        <sz val="10"/>
        <color indexed="8"/>
        <rFont val="Calibri"/>
        <family val="2"/>
      </rPr>
      <t xml:space="preserve">49         </t>
    </r>
    <r>
      <rPr>
        <sz val="10"/>
        <color indexed="8"/>
        <rFont val="Calibri"/>
        <family val="2"/>
      </rPr>
      <t>*</t>
    </r>
  </si>
  <si>
    <r>
      <t xml:space="preserve">Electro Norte Medio  S.A.  </t>
    </r>
    <r>
      <rPr>
        <vertAlign val="superscript"/>
        <sz val="10"/>
        <color indexed="8"/>
        <rFont val="Calibri"/>
        <family val="2"/>
      </rPr>
      <t xml:space="preserve">49          </t>
    </r>
    <r>
      <rPr>
        <sz val="10"/>
        <color indexed="8"/>
        <rFont val="Calibri"/>
        <family val="2"/>
      </rPr>
      <t>*</t>
    </r>
  </si>
  <si>
    <r>
      <t xml:space="preserve">Acc.Edegel - Remanente acciones  (1er tramo) </t>
    </r>
    <r>
      <rPr>
        <vertAlign val="superscript"/>
        <sz val="10"/>
        <color indexed="8"/>
        <rFont val="Calibri"/>
        <family val="2"/>
      </rPr>
      <t xml:space="preserve"> 50</t>
    </r>
  </si>
  <si>
    <r>
      <t xml:space="preserve">Acc.Edegel - Remanente acciones  (2do tramo)  </t>
    </r>
    <r>
      <rPr>
        <vertAlign val="superscript"/>
        <sz val="10"/>
        <color indexed="8"/>
        <rFont val="Calibri"/>
        <family val="2"/>
      </rPr>
      <t xml:space="preserve"> 51</t>
    </r>
  </si>
  <si>
    <r>
      <t xml:space="preserve">Acc.Edegel - Remanente acciones  (3er tramo)  </t>
    </r>
    <r>
      <rPr>
        <vertAlign val="superscript"/>
        <sz val="10"/>
        <color indexed="8"/>
        <rFont val="Calibri"/>
        <family val="2"/>
      </rPr>
      <t xml:space="preserve"> 52</t>
    </r>
  </si>
  <si>
    <r>
      <t xml:space="preserve">Proyecto Camisea - Explotación   </t>
    </r>
    <r>
      <rPr>
        <vertAlign val="superscript"/>
        <sz val="10"/>
        <color indexed="8"/>
        <rFont val="Calibri"/>
        <family val="2"/>
      </rPr>
      <t>a11</t>
    </r>
  </si>
  <si>
    <r>
      <t xml:space="preserve">Minero Perú - Prospecto Magistral    </t>
    </r>
    <r>
      <rPr>
        <vertAlign val="superscript"/>
        <sz val="10"/>
        <color indexed="8"/>
        <rFont val="Calibri"/>
        <family val="2"/>
      </rPr>
      <t>53</t>
    </r>
  </si>
  <si>
    <r>
      <t xml:space="preserve">IMEX Callao    </t>
    </r>
    <r>
      <rPr>
        <vertAlign val="superscript"/>
        <sz val="10"/>
        <color indexed="8"/>
        <rFont val="Calibri"/>
        <family val="2"/>
      </rPr>
      <t>54</t>
    </r>
  </si>
  <si>
    <r>
      <t xml:space="preserve">100% acc. Logística Integral Callao S.A. y Yauricocha S.A. </t>
    </r>
    <r>
      <rPr>
        <vertAlign val="superscript"/>
        <sz val="10"/>
        <color indexed="8"/>
        <rFont val="Calibri"/>
        <family val="2"/>
      </rPr>
      <t>55</t>
    </r>
  </si>
  <si>
    <r>
      <t xml:space="preserve">Contrato de Suministro de Gas Natural    </t>
    </r>
    <r>
      <rPr>
        <vertAlign val="superscript"/>
        <sz val="10"/>
        <color indexed="8"/>
        <rFont val="Calibri"/>
        <family val="2"/>
      </rPr>
      <t xml:space="preserve"> 57</t>
    </r>
  </si>
  <si>
    <r>
      <t xml:space="preserve">Empresa Minera Natividad     </t>
    </r>
    <r>
      <rPr>
        <vertAlign val="superscript"/>
        <sz val="10"/>
        <color indexed="8"/>
        <rFont val="Calibri"/>
        <family val="2"/>
      </rPr>
      <t>58</t>
    </r>
  </si>
  <si>
    <t>Prospectos Mineros (Huarangayoc/Pira y Winicocha)</t>
  </si>
  <si>
    <t>Prospectos Mineros (Mishky/Tinoray, Puy Puy y Yanacollpa)</t>
  </si>
  <si>
    <r>
      <t xml:space="preserve">Proyecto Minero Las Bambas </t>
    </r>
    <r>
      <rPr>
        <vertAlign val="superscript"/>
        <sz val="10"/>
        <color indexed="8"/>
        <rFont val="Calibri"/>
        <family val="2"/>
      </rPr>
      <t xml:space="preserve"> </t>
    </r>
    <r>
      <rPr>
        <sz val="10"/>
        <color indexed="8"/>
        <rFont val="Calibri"/>
        <family val="2"/>
      </rPr>
      <t>(Opción)</t>
    </r>
  </si>
  <si>
    <r>
      <t xml:space="preserve">Proyecto Bayóvar   </t>
    </r>
    <r>
      <rPr>
        <vertAlign val="superscript"/>
        <sz val="10"/>
        <color indexed="8"/>
        <rFont val="Calibri"/>
        <family val="2"/>
      </rPr>
      <t>60</t>
    </r>
  </si>
  <si>
    <t>Acceso a Internet en capitales de distrito del Perú - 1ra Etapa</t>
  </si>
  <si>
    <r>
      <t xml:space="preserve">Proyecto Toromocho   </t>
    </r>
    <r>
      <rPr>
        <vertAlign val="superscript"/>
        <sz val="10"/>
        <color indexed="8"/>
        <rFont val="Calibri"/>
        <family val="2"/>
      </rPr>
      <t>b3</t>
    </r>
  </si>
  <si>
    <r>
      <t xml:space="preserve">Empresa de Generación Eléctrica de Lima (Edegel) </t>
    </r>
    <r>
      <rPr>
        <vertAlign val="superscript"/>
        <sz val="10"/>
        <color indexed="8"/>
        <rFont val="Calibri"/>
        <family val="2"/>
      </rPr>
      <t xml:space="preserve">  e1</t>
    </r>
  </si>
  <si>
    <r>
      <t xml:space="preserve">Inmueble Cuartel San Martín </t>
    </r>
    <r>
      <rPr>
        <vertAlign val="superscript"/>
        <sz val="10"/>
        <color indexed="8"/>
        <rFont val="Calibri"/>
        <family val="2"/>
      </rPr>
      <t>e2</t>
    </r>
  </si>
  <si>
    <t xml:space="preserve">TRANSACCIONES </t>
  </si>
  <si>
    <t>Incluye:  al Contado  US$ 20.2 MM, Diferido  US$140.9 MM y Papeles de deuda US$25.1MM</t>
  </si>
  <si>
    <t>Correspondiente al pago inicial de US$9.68 MM más los ingresos esperados por concepto del canon de 5% mensual sólo por los cinco primeros años (aprox. S/.800 M anuales).   Cabe señalar que el canon es por el tiempo que dure la concesión, sin embargo para fines de registro, en este reporte sólo se está considerando los cinco primeros años.</t>
  </si>
  <si>
    <t>INVERSIÓN PROYECTADA</t>
  </si>
  <si>
    <t>TOTAL 2014</t>
  </si>
  <si>
    <t>Subasta Pública de Tierras de Uso No Agrícola del Proyecto Chavimochic: Inmuebles 2, 3, 4 y 9</t>
  </si>
  <si>
    <t>26.05.14</t>
  </si>
  <si>
    <t>26.06.14</t>
  </si>
  <si>
    <t>Inmueble Nº 04 California</t>
  </si>
  <si>
    <t>3.3. REPORTE DE PROYECTOS EN LA MODALIDAD DE VENTA DE ACCIONES Y ACTIVOS A DICIEMBRE 2017</t>
  </si>
  <si>
    <r>
      <rPr>
        <b/>
        <sz val="10"/>
        <rFont val="Calibri"/>
        <family val="2"/>
      </rPr>
      <t>Fuente y elaboración:</t>
    </r>
    <r>
      <rPr>
        <sz val="10"/>
        <rFont val="Calibri"/>
        <family val="2"/>
      </rPr>
      <t xml:space="preserve"> Dirección de Portafolio de Proyectos - PROINVERSIÓN</t>
    </r>
  </si>
</sst>
</file>

<file path=xl/styles.xml><?xml version="1.0" encoding="utf-8"?>
<styleSheet xmlns="http://schemas.openxmlformats.org/spreadsheetml/2006/main">
  <numFmts count="20">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_(* #,##0.00_);_(* \(#,##0.00\);_(* &quot;-&quot;??_);_(@_)"/>
    <numFmt numFmtId="174" formatCode="_(&quot;$&quot;* #,##0.00_);_(&quot;$&quot;* \(#,##0.00\);_(&quot;$&quot;* &quot;-&quot;??_);_(@_)"/>
    <numFmt numFmtId="175" formatCode="_(* #,##0_);_(* \(#,##0\);_(* &quot;-&quot;??_);_(@_)"/>
  </numFmts>
  <fonts count="53">
    <font>
      <sz val="10"/>
      <name val="Arial"/>
      <family val="0"/>
    </font>
    <font>
      <sz val="11"/>
      <color indexed="8"/>
      <name val="Calibri"/>
      <family val="2"/>
    </font>
    <font>
      <b/>
      <sz val="10"/>
      <name val="Arial"/>
      <family val="2"/>
    </font>
    <font>
      <sz val="10"/>
      <color indexed="8"/>
      <name val="Arial"/>
      <family val="2"/>
    </font>
    <font>
      <sz val="10"/>
      <color indexed="9"/>
      <name val="Arial"/>
      <family val="2"/>
    </font>
    <font>
      <b/>
      <sz val="8"/>
      <name val="Tahoma"/>
      <family val="2"/>
    </font>
    <font>
      <sz val="8"/>
      <name val="Tahoma"/>
      <family val="2"/>
    </font>
    <font>
      <b/>
      <sz val="12"/>
      <name val="Arial"/>
      <family val="2"/>
    </font>
    <font>
      <sz val="10"/>
      <name val="Calibri"/>
      <family val="2"/>
    </font>
    <font>
      <sz val="10"/>
      <color indexed="8"/>
      <name val="Calibri"/>
      <family val="2"/>
    </font>
    <font>
      <vertAlign val="superscript"/>
      <sz val="10"/>
      <color indexed="8"/>
      <name val="Calibri"/>
      <family val="2"/>
    </font>
    <font>
      <b/>
      <sz val="10"/>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0"/>
      <color indexed="9"/>
      <name val="Calibri"/>
      <family val="2"/>
    </font>
    <font>
      <b/>
      <sz val="16"/>
      <name val="Calibri"/>
      <family val="2"/>
    </font>
    <font>
      <sz val="10"/>
      <color indexed="9"/>
      <name val="Calibri"/>
      <family val="2"/>
    </font>
    <font>
      <b/>
      <sz val="10"/>
      <color indexed="8"/>
      <name val="Calibri"/>
      <family val="2"/>
    </font>
    <font>
      <vertAlign val="superscript"/>
      <sz val="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0"/>
      <name val="Calibri"/>
      <family val="2"/>
    </font>
    <font>
      <b/>
      <sz val="10"/>
      <color theme="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993300"/>
        <bgColor indexed="64"/>
      </patternFill>
    </fill>
    <fill>
      <patternFill patternType="solid">
        <fgColor indexed="22"/>
        <bgColor indexed="64"/>
      </patternFill>
    </fill>
    <fill>
      <patternFill patternType="solid">
        <fgColor theme="0"/>
        <bgColor indexed="64"/>
      </patternFill>
    </fill>
    <fill>
      <patternFill patternType="solid">
        <fgColor theme="0" tint="-0.149959996342659"/>
        <bgColor indexed="64"/>
      </patternFill>
    </fill>
    <fill>
      <patternFill patternType="solid">
        <fgColor theme="9" tint="-0.24997000396251678"/>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right/>
      <top style="thin"/>
      <bottom style="thin"/>
    </border>
    <border>
      <left/>
      <right style="thin"/>
      <top style="thin"/>
      <bottom style="thin"/>
    </border>
    <border>
      <left/>
      <right/>
      <top style="dotted"/>
      <bottom style="dotted"/>
    </border>
    <border>
      <left/>
      <right/>
      <top style="dotted"/>
      <bottom/>
    </border>
    <border>
      <left/>
      <right/>
      <top/>
      <bottom style="dotted"/>
    </border>
    <border>
      <left/>
      <right style="thin"/>
      <top style="dotted"/>
      <bottom/>
    </border>
    <border>
      <left style="thin"/>
      <right style="thin"/>
      <top style="dotted"/>
      <bottom/>
    </border>
    <border>
      <left/>
      <right/>
      <top style="dotted"/>
      <bottom style="thin"/>
    </border>
    <border>
      <left/>
      <right style="thin"/>
      <top style="dotted"/>
      <bottom style="thin"/>
    </border>
    <border>
      <left style="thin"/>
      <right style="thin"/>
      <top style="dotted"/>
      <bottom style="thin"/>
    </border>
    <border>
      <left/>
      <right/>
      <top style="hair"/>
      <bottom/>
    </border>
    <border>
      <left/>
      <right/>
      <top style="hair"/>
      <bottom style="dotted"/>
    </border>
    <border>
      <left/>
      <right/>
      <top style="hair"/>
      <bottom style="thin"/>
    </border>
    <border>
      <left/>
      <right style="thin"/>
      <top style="dotted"/>
      <bottom style="dotted"/>
    </border>
    <border>
      <left style="thin"/>
      <right style="thin"/>
      <top style="dotted"/>
      <bottom style="dotted"/>
    </border>
    <border>
      <left/>
      <right/>
      <top/>
      <bottom style="thin"/>
    </border>
    <border>
      <left style="thin"/>
      <right style="hair"/>
      <top style="thin"/>
      <bottom style="hair"/>
    </border>
    <border>
      <left style="hair"/>
      <right style="thin"/>
      <top style="thin"/>
      <bottom style="hair"/>
    </border>
    <border>
      <left style="thin"/>
      <right style="thin"/>
      <top style="thin"/>
      <bottom style="hair"/>
    </border>
    <border>
      <left style="thin"/>
      <right/>
      <top style="thin"/>
      <bottom style="hair"/>
    </border>
    <border>
      <left/>
      <right style="thin"/>
      <top style="thin"/>
      <bottom style="hair"/>
    </border>
    <border>
      <left style="thin"/>
      <right style="hair"/>
      <top style="hair"/>
      <bottom style="thin"/>
    </border>
    <border>
      <left style="hair"/>
      <right style="thin"/>
      <top style="hair"/>
      <bottom style="thin"/>
    </border>
    <border>
      <left style="thin"/>
      <right style="thin"/>
      <top style="hair"/>
      <bottom style="thin"/>
    </border>
    <border>
      <left style="thin"/>
      <right/>
      <top style="hair"/>
      <bottom style="thin"/>
    </border>
    <border>
      <left/>
      <right style="thin"/>
      <top style="hair"/>
      <bottom style="thin"/>
    </border>
    <border>
      <left style="thin"/>
      <right style="hair"/>
      <top style="hair"/>
      <bottom style="hair"/>
    </border>
    <border>
      <left style="hair"/>
      <right style="thin"/>
      <top style="hair"/>
      <bottom style="hair"/>
    </border>
    <border>
      <left style="thin"/>
      <right style="thin"/>
      <top style="hair"/>
      <bottom style="hair"/>
    </border>
    <border>
      <left style="thin"/>
      <right/>
      <top style="hair"/>
      <bottom style="hair"/>
    </border>
    <border>
      <left/>
      <right style="thin"/>
      <top style="hair"/>
      <bottom style="hair"/>
    </border>
    <border>
      <left style="thin"/>
      <right style="hair"/>
      <top style="hair"/>
      <bottom/>
    </border>
    <border>
      <left style="hair"/>
      <right style="thin"/>
      <top style="hair"/>
      <bottom/>
    </border>
    <border>
      <left style="thin"/>
      <right style="thin"/>
      <top style="hair"/>
      <bottom/>
    </border>
    <border>
      <left style="thin"/>
      <right/>
      <top style="hair"/>
      <bottom/>
    </border>
    <border>
      <left/>
      <right style="thin"/>
      <top style="hair"/>
      <bottom/>
    </border>
    <border>
      <left/>
      <right/>
      <top style="hair"/>
      <bottom style="hair"/>
    </border>
    <border>
      <left/>
      <right/>
      <top/>
      <bottom style="hair"/>
    </border>
    <border>
      <left/>
      <right/>
      <top style="thin"/>
      <bottom/>
    </border>
    <border>
      <left style="thin"/>
      <right style="hair"/>
      <top/>
      <bottom/>
    </border>
    <border>
      <left style="hair"/>
      <right style="thin"/>
      <top/>
      <bottom/>
    </border>
    <border>
      <left style="thin"/>
      <right style="thin"/>
      <top/>
      <bottom/>
    </border>
    <border>
      <left style="thin"/>
      <right/>
      <top/>
      <bottom/>
    </border>
    <border>
      <left/>
      <right style="thin"/>
      <top/>
      <bottom/>
    </border>
    <border>
      <left style="thin"/>
      <right style="thin"/>
      <top style="thin"/>
      <bottom style="thin"/>
    </border>
    <border>
      <left style="thin"/>
      <right/>
      <top style="thin"/>
      <bottom style="thin"/>
    </border>
    <border>
      <left style="medium"/>
      <right/>
      <top style="medium"/>
      <bottom style="medium"/>
    </border>
    <border>
      <left/>
      <right style="medium"/>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173" fontId="0" fillId="0" borderId="0" applyFont="0" applyFill="0" applyBorder="0" applyAlignment="0" applyProtection="0"/>
    <xf numFmtId="41"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85">
    <xf numFmtId="0" fontId="0" fillId="0" borderId="0" xfId="0" applyAlignment="1">
      <alignment/>
    </xf>
    <xf numFmtId="0" fontId="4" fillId="0" borderId="0" xfId="0" applyFont="1" applyFill="1" applyBorder="1" applyAlignment="1">
      <alignment vertical="center"/>
    </xf>
    <xf numFmtId="0" fontId="3" fillId="0" borderId="0" xfId="0" applyFont="1" applyFill="1" applyBorder="1" applyAlignment="1">
      <alignment vertical="center"/>
    </xf>
    <xf numFmtId="0" fontId="4" fillId="33" borderId="0" xfId="0" applyFont="1" applyFill="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175" fontId="3" fillId="0" borderId="0" xfId="46" applyNumberFormat="1" applyFont="1" applyAlignment="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175" fontId="3" fillId="0" borderId="0" xfId="46" applyNumberFormat="1" applyFont="1" applyBorder="1" applyAlignment="1">
      <alignment vertical="center"/>
    </xf>
    <xf numFmtId="175" fontId="3" fillId="0" borderId="0" xfId="46" applyNumberFormat="1" applyFont="1" applyBorder="1" applyAlignment="1">
      <alignment horizontal="left" vertical="center" shrinkToFit="1"/>
    </xf>
    <xf numFmtId="0" fontId="3" fillId="0" borderId="0" xfId="0" applyFont="1" applyBorder="1" applyAlignment="1">
      <alignment horizontal="left" vertical="center" shrinkToFit="1"/>
    </xf>
    <xf numFmtId="175" fontId="3" fillId="0" borderId="0" xfId="46" applyNumberFormat="1" applyFont="1" applyAlignment="1">
      <alignment horizontal="left" vertical="center" shrinkToFit="1"/>
    </xf>
    <xf numFmtId="0" fontId="3" fillId="0" borderId="0" xfId="0" applyFont="1" applyAlignment="1">
      <alignment horizontal="left" vertical="center" shrinkToFit="1"/>
    </xf>
    <xf numFmtId="0" fontId="49" fillId="33" borderId="0" xfId="0" applyFont="1" applyFill="1" applyBorder="1" applyAlignment="1">
      <alignment vertical="center"/>
    </xf>
    <xf numFmtId="0" fontId="27" fillId="34" borderId="10" xfId="0" applyFont="1" applyFill="1" applyBorder="1" applyAlignment="1">
      <alignment horizontal="center" vertical="center"/>
    </xf>
    <xf numFmtId="0" fontId="28" fillId="0" borderId="0" xfId="0" applyFont="1" applyFill="1" applyBorder="1" applyAlignment="1">
      <alignment vertical="center"/>
    </xf>
    <xf numFmtId="0" fontId="8" fillId="0" borderId="0" xfId="0" applyFont="1" applyFill="1" applyBorder="1" applyAlignment="1">
      <alignment vertical="center"/>
    </xf>
    <xf numFmtId="0" fontId="50" fillId="34" borderId="11" xfId="0" applyFont="1" applyFill="1" applyBorder="1" applyAlignment="1">
      <alignment horizontal="center" vertical="center"/>
    </xf>
    <xf numFmtId="175" fontId="51" fillId="34" borderId="11" xfId="46" applyNumberFormat="1" applyFont="1" applyFill="1" applyBorder="1" applyAlignment="1">
      <alignment vertical="center"/>
    </xf>
    <xf numFmtId="172" fontId="51" fillId="34" borderId="11" xfId="46" applyNumberFormat="1" applyFont="1" applyFill="1" applyBorder="1" applyAlignment="1">
      <alignment vertical="center"/>
    </xf>
    <xf numFmtId="0" fontId="50" fillId="34" borderId="12" xfId="0" applyFont="1" applyFill="1" applyBorder="1" applyAlignment="1">
      <alignment horizontal="left" vertical="center" shrinkToFit="1"/>
    </xf>
    <xf numFmtId="175" fontId="50" fillId="33" borderId="0" xfId="0" applyNumberFormat="1" applyFont="1" applyFill="1" applyBorder="1" applyAlignment="1">
      <alignment vertical="center"/>
    </xf>
    <xf numFmtId="0" fontId="29" fillId="33" borderId="0" xfId="0" applyFont="1" applyFill="1" applyBorder="1" applyAlignment="1">
      <alignment vertical="center"/>
    </xf>
    <xf numFmtId="0" fontId="29"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Alignment="1">
      <alignment vertical="center"/>
    </xf>
    <xf numFmtId="0" fontId="50" fillId="33" borderId="0" xfId="0" applyFont="1" applyFill="1" applyBorder="1" applyAlignment="1">
      <alignment horizontal="center" vertical="center"/>
    </xf>
    <xf numFmtId="0" fontId="29" fillId="33" borderId="0" xfId="0" applyFont="1" applyFill="1" applyBorder="1" applyAlignment="1">
      <alignment horizontal="center" vertical="center"/>
    </xf>
    <xf numFmtId="0" fontId="29"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35" borderId="0" xfId="0" applyFont="1" applyFill="1" applyAlignment="1">
      <alignment horizontal="center" vertical="center"/>
    </xf>
    <xf numFmtId="0" fontId="9" fillId="0" borderId="0" xfId="0" applyFont="1" applyFill="1" applyBorder="1" applyAlignment="1">
      <alignment horizontal="left" vertical="center" shrinkToFit="1"/>
    </xf>
    <xf numFmtId="0" fontId="50" fillId="33" borderId="0" xfId="0" applyFont="1" applyFill="1" applyBorder="1" applyAlignment="1">
      <alignment vertical="center"/>
    </xf>
    <xf numFmtId="0" fontId="9" fillId="0" borderId="0" xfId="0" applyFont="1" applyAlignment="1">
      <alignment vertical="center"/>
    </xf>
    <xf numFmtId="0" fontId="50" fillId="36" borderId="0" xfId="0" applyFont="1" applyFill="1" applyBorder="1" applyAlignment="1">
      <alignment vertical="center"/>
    </xf>
    <xf numFmtId="0" fontId="29" fillId="36" borderId="0" xfId="0" applyFont="1" applyFill="1" applyBorder="1" applyAlignment="1">
      <alignment vertical="center"/>
    </xf>
    <xf numFmtId="0" fontId="9" fillId="36" borderId="0" xfId="0" applyFont="1" applyFill="1" applyBorder="1" applyAlignment="1">
      <alignment vertical="center"/>
    </xf>
    <xf numFmtId="0" fontId="9" fillId="36" borderId="0" xfId="0" applyFont="1" applyFill="1" applyAlignment="1">
      <alignment vertical="center"/>
    </xf>
    <xf numFmtId="0" fontId="9" fillId="0" borderId="0"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5" xfId="0" applyFont="1" applyFill="1" applyBorder="1" applyAlignment="1">
      <alignment vertical="center"/>
    </xf>
    <xf numFmtId="0" fontId="9" fillId="0" borderId="13" xfId="0" applyFont="1" applyFill="1" applyBorder="1" applyAlignment="1">
      <alignment vertical="center"/>
    </xf>
    <xf numFmtId="0" fontId="9" fillId="0" borderId="14" xfId="0" applyFont="1" applyFill="1" applyBorder="1" applyAlignment="1">
      <alignment vertical="center"/>
    </xf>
    <xf numFmtId="0" fontId="9" fillId="0" borderId="16" xfId="0" applyFont="1" applyFill="1" applyBorder="1" applyAlignment="1">
      <alignment vertical="center"/>
    </xf>
    <xf numFmtId="0" fontId="9" fillId="0" borderId="17" xfId="0" applyFont="1" applyFill="1" applyBorder="1" applyAlignment="1">
      <alignment vertical="center"/>
    </xf>
    <xf numFmtId="0" fontId="9" fillId="0" borderId="18" xfId="0" applyFont="1" applyFill="1" applyBorder="1" applyAlignment="1">
      <alignment vertical="center"/>
    </xf>
    <xf numFmtId="0" fontId="9" fillId="0" borderId="19" xfId="0" applyFont="1" applyFill="1" applyBorder="1" applyAlignment="1">
      <alignment vertical="center"/>
    </xf>
    <xf numFmtId="0" fontId="9" fillId="0" borderId="20" xfId="0" applyFont="1" applyFill="1" applyBorder="1" applyAlignment="1">
      <alignment vertical="center"/>
    </xf>
    <xf numFmtId="0" fontId="9" fillId="0" borderId="18" xfId="0" applyFont="1" applyBorder="1" applyAlignment="1">
      <alignment vertical="center"/>
    </xf>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9" fillId="0" borderId="25" xfId="0" applyFont="1" applyFill="1" applyBorder="1" applyAlignment="1">
      <alignment vertical="center"/>
    </xf>
    <xf numFmtId="0" fontId="9" fillId="0" borderId="26" xfId="0" applyFont="1" applyFill="1" applyBorder="1" applyAlignment="1">
      <alignment vertical="center"/>
    </xf>
    <xf numFmtId="0" fontId="50" fillId="0" borderId="0" xfId="0" applyFont="1" applyBorder="1" applyAlignment="1">
      <alignment horizontal="right"/>
    </xf>
    <xf numFmtId="175" fontId="50" fillId="36" borderId="0" xfId="0" applyNumberFormat="1" applyFont="1" applyFill="1" applyBorder="1" applyAlignment="1">
      <alignment vertical="center"/>
    </xf>
    <xf numFmtId="175" fontId="29" fillId="33" borderId="0" xfId="46" applyNumberFormat="1" applyFont="1" applyFill="1" applyBorder="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9" fillId="0" borderId="29" xfId="0" applyFont="1" applyBorder="1" applyAlignment="1">
      <alignment horizontal="center" vertical="center"/>
    </xf>
    <xf numFmtId="0" fontId="9" fillId="0" borderId="29" xfId="0" applyFont="1" applyBorder="1" applyAlignment="1">
      <alignment vertical="center"/>
    </xf>
    <xf numFmtId="172" fontId="9" fillId="0" borderId="30" xfId="46" applyNumberFormat="1" applyFont="1" applyFill="1" applyBorder="1" applyAlignment="1">
      <alignment vertical="center"/>
    </xf>
    <xf numFmtId="172" fontId="9" fillId="0" borderId="31" xfId="46" applyNumberFormat="1" applyFont="1" applyFill="1" applyBorder="1" applyAlignment="1">
      <alignment horizontal="left" vertical="center" shrinkToFit="1"/>
    </xf>
    <xf numFmtId="0" fontId="9" fillId="0" borderId="31" xfId="0" applyFont="1" applyFill="1" applyBorder="1" applyAlignment="1">
      <alignment horizontal="left" vertical="center" shrinkToFit="1"/>
    </xf>
    <xf numFmtId="0" fontId="9" fillId="0" borderId="32" xfId="0" applyFont="1" applyBorder="1" applyAlignment="1">
      <alignment vertical="center"/>
    </xf>
    <xf numFmtId="0" fontId="9" fillId="0" borderId="33" xfId="0" applyFont="1" applyBorder="1" applyAlignment="1">
      <alignment vertical="center"/>
    </xf>
    <xf numFmtId="0" fontId="9" fillId="0" borderId="34" xfId="0" applyFont="1" applyBorder="1" applyAlignment="1">
      <alignment horizontal="center" vertical="center"/>
    </xf>
    <xf numFmtId="0" fontId="9" fillId="0" borderId="34" xfId="0" applyFont="1" applyBorder="1" applyAlignment="1">
      <alignment vertical="center"/>
    </xf>
    <xf numFmtId="175" fontId="9" fillId="0" borderId="35" xfId="46" applyNumberFormat="1" applyFont="1" applyBorder="1" applyAlignment="1">
      <alignment vertical="center"/>
    </xf>
    <xf numFmtId="175" fontId="9" fillId="0" borderId="36" xfId="46" applyNumberFormat="1" applyFont="1" applyBorder="1" applyAlignment="1">
      <alignment horizontal="left" vertical="center" shrinkToFit="1"/>
    </xf>
    <xf numFmtId="172" fontId="9" fillId="0" borderId="35" xfId="46" applyNumberFormat="1" applyFont="1" applyFill="1" applyBorder="1" applyAlignment="1">
      <alignment vertical="center"/>
    </xf>
    <xf numFmtId="0" fontId="9" fillId="0" borderId="36" xfId="0" applyFont="1" applyFill="1" applyBorder="1" applyAlignment="1">
      <alignment horizontal="left" vertical="center" shrinkToFit="1"/>
    </xf>
    <xf numFmtId="0" fontId="30" fillId="0" borderId="0" xfId="0" applyFont="1" applyBorder="1" applyAlignment="1">
      <alignment vertical="center"/>
    </xf>
    <xf numFmtId="0" fontId="30" fillId="0" borderId="0" xfId="0" applyFont="1" applyBorder="1" applyAlignment="1">
      <alignment horizontal="center" vertical="center"/>
    </xf>
    <xf numFmtId="0" fontId="9" fillId="0" borderId="0" xfId="0" applyFont="1" applyBorder="1" applyAlignment="1">
      <alignment horizontal="center" vertical="center"/>
    </xf>
    <xf numFmtId="175" fontId="30" fillId="0" borderId="0" xfId="46" applyNumberFormat="1" applyFont="1" applyBorder="1" applyAlignment="1">
      <alignment vertical="center"/>
    </xf>
    <xf numFmtId="175" fontId="30" fillId="0" borderId="0" xfId="46" applyNumberFormat="1" applyFont="1" applyBorder="1" applyAlignment="1">
      <alignment horizontal="left" vertical="center" shrinkToFit="1"/>
    </xf>
    <xf numFmtId="172" fontId="30" fillId="0" borderId="0" xfId="46" applyNumberFormat="1" applyFont="1" applyBorder="1" applyAlignment="1">
      <alignment vertical="center"/>
    </xf>
    <xf numFmtId="0" fontId="9" fillId="0" borderId="0" xfId="0" applyFont="1" applyBorder="1" applyAlignment="1">
      <alignment horizontal="left" vertical="center" shrinkToFit="1"/>
    </xf>
    <xf numFmtId="175" fontId="9" fillId="33" borderId="27" xfId="46" applyNumberFormat="1" applyFont="1" applyFill="1" applyBorder="1" applyAlignment="1">
      <alignment vertical="center"/>
    </xf>
    <xf numFmtId="175" fontId="9" fillId="0" borderId="30" xfId="46" applyNumberFormat="1" applyFont="1" applyBorder="1" applyAlignment="1">
      <alignment vertical="center"/>
    </xf>
    <xf numFmtId="175" fontId="9" fillId="0" borderId="31" xfId="46" applyNumberFormat="1" applyFont="1" applyBorder="1" applyAlignment="1">
      <alignment horizontal="left" vertical="center" shrinkToFit="1"/>
    </xf>
    <xf numFmtId="175" fontId="9" fillId="0" borderId="37" xfId="48" applyNumberFormat="1" applyFont="1" applyBorder="1" applyAlignment="1">
      <alignment vertical="center"/>
    </xf>
    <xf numFmtId="0" fontId="9" fillId="0" borderId="38" xfId="0" applyFont="1" applyBorder="1" applyAlignment="1">
      <alignment vertical="center"/>
    </xf>
    <xf numFmtId="0" fontId="9" fillId="0" borderId="39" xfId="0" applyFont="1" applyBorder="1" applyAlignment="1">
      <alignment horizontal="center" vertical="center"/>
    </xf>
    <xf numFmtId="0" fontId="9" fillId="0" borderId="39" xfId="0" applyFont="1" applyBorder="1" applyAlignment="1">
      <alignment vertical="center"/>
    </xf>
    <xf numFmtId="175" fontId="9" fillId="0" borderId="40" xfId="46" applyNumberFormat="1" applyFont="1" applyBorder="1" applyAlignment="1">
      <alignment vertical="center"/>
    </xf>
    <xf numFmtId="175" fontId="9" fillId="0" borderId="41" xfId="46" applyNumberFormat="1" applyFont="1" applyBorder="1" applyAlignment="1">
      <alignment horizontal="left" vertical="center" shrinkToFit="1"/>
    </xf>
    <xf numFmtId="172" fontId="9" fillId="0" borderId="40" xfId="46" applyNumberFormat="1" applyFont="1" applyFill="1" applyBorder="1" applyAlignment="1">
      <alignment vertical="center"/>
    </xf>
    <xf numFmtId="0" fontId="9" fillId="0" borderId="41" xfId="0" applyFont="1" applyFill="1" applyBorder="1" applyAlignment="1">
      <alignment horizontal="left" vertical="center" shrinkToFit="1"/>
    </xf>
    <xf numFmtId="175" fontId="9" fillId="0" borderId="37" xfId="48" applyNumberFormat="1" applyFont="1" applyFill="1" applyBorder="1" applyAlignment="1">
      <alignment vertical="center"/>
    </xf>
    <xf numFmtId="0" fontId="9" fillId="0" borderId="38" xfId="0" applyFont="1" applyFill="1" applyBorder="1" applyAlignment="1">
      <alignment vertical="center"/>
    </xf>
    <xf numFmtId="0" fontId="9" fillId="0" borderId="39" xfId="0" applyFont="1" applyFill="1" applyBorder="1" applyAlignment="1">
      <alignment horizontal="center" vertical="center"/>
    </xf>
    <xf numFmtId="0" fontId="9" fillId="0" borderId="39" xfId="0" applyFont="1" applyFill="1" applyBorder="1" applyAlignment="1">
      <alignment vertical="center"/>
    </xf>
    <xf numFmtId="175" fontId="9" fillId="0" borderId="40" xfId="46" applyNumberFormat="1" applyFont="1" applyFill="1" applyBorder="1" applyAlignment="1">
      <alignment vertical="center"/>
    </xf>
    <xf numFmtId="175" fontId="9" fillId="0" borderId="41" xfId="46" applyNumberFormat="1" applyFont="1" applyFill="1" applyBorder="1" applyAlignment="1">
      <alignment horizontal="left" vertical="center" shrinkToFit="1"/>
    </xf>
    <xf numFmtId="175" fontId="9" fillId="33" borderId="37" xfId="46" applyNumberFormat="1" applyFont="1" applyFill="1" applyBorder="1" applyAlignment="1">
      <alignment vertical="center"/>
    </xf>
    <xf numFmtId="0" fontId="30" fillId="0" borderId="41" xfId="0" applyFont="1" applyFill="1" applyBorder="1" applyAlignment="1">
      <alignment horizontal="left" vertical="center" shrinkToFit="1"/>
    </xf>
    <xf numFmtId="175" fontId="9" fillId="33" borderId="32" xfId="46" applyNumberFormat="1" applyFont="1" applyFill="1" applyBorder="1" applyAlignment="1">
      <alignment vertical="center"/>
    </xf>
    <xf numFmtId="0" fontId="30" fillId="0" borderId="36" xfId="0" applyFont="1" applyFill="1" applyBorder="1" applyAlignment="1">
      <alignment horizontal="left" vertical="center" shrinkToFit="1"/>
    </xf>
    <xf numFmtId="175" fontId="9" fillId="0" borderId="27" xfId="48" applyNumberFormat="1" applyFont="1" applyBorder="1" applyAlignment="1">
      <alignment vertical="center"/>
    </xf>
    <xf numFmtId="172" fontId="9" fillId="0" borderId="28" xfId="0" applyNumberFormat="1" applyFont="1" applyBorder="1" applyAlignment="1">
      <alignment vertical="center"/>
    </xf>
    <xf numFmtId="172" fontId="9" fillId="0" borderId="38" xfId="0" applyNumberFormat="1" applyFont="1" applyBorder="1" applyAlignment="1">
      <alignment vertical="center"/>
    </xf>
    <xf numFmtId="175" fontId="9" fillId="0" borderId="32" xfId="48" applyNumberFormat="1" applyFont="1" applyBorder="1" applyAlignment="1">
      <alignment vertical="center"/>
    </xf>
    <xf numFmtId="172" fontId="9" fillId="0" borderId="33" xfId="0" applyNumberFormat="1" applyFont="1" applyBorder="1" applyAlignment="1">
      <alignment vertical="center"/>
    </xf>
    <xf numFmtId="0" fontId="9" fillId="0" borderId="37" xfId="0" applyFont="1" applyBorder="1" applyAlignment="1">
      <alignment vertical="center"/>
    </xf>
    <xf numFmtId="0" fontId="9" fillId="0" borderId="39" xfId="0" applyFont="1" applyBorder="1" applyAlignment="1" quotePrefix="1">
      <alignment horizontal="center" vertical="center"/>
    </xf>
    <xf numFmtId="0" fontId="9" fillId="0" borderId="37" xfId="0" applyFont="1" applyFill="1" applyBorder="1" applyAlignment="1">
      <alignment vertical="center"/>
    </xf>
    <xf numFmtId="0" fontId="9" fillId="0" borderId="42" xfId="0" applyFont="1" applyBorder="1" applyAlignment="1">
      <alignment vertical="center"/>
    </xf>
    <xf numFmtId="0" fontId="9" fillId="0" borderId="43" xfId="0" applyFont="1" applyBorder="1" applyAlignment="1">
      <alignment vertical="center"/>
    </xf>
    <xf numFmtId="0" fontId="9" fillId="0" borderId="44" xfId="0" applyFont="1" applyBorder="1" applyAlignment="1">
      <alignment horizontal="center" vertical="center"/>
    </xf>
    <xf numFmtId="0" fontId="9" fillId="0" borderId="44" xfId="0" applyFont="1" applyBorder="1" applyAlignment="1">
      <alignment vertical="center"/>
    </xf>
    <xf numFmtId="175" fontId="9" fillId="0" borderId="45" xfId="46" applyNumberFormat="1" applyFont="1" applyBorder="1" applyAlignment="1">
      <alignment vertical="center"/>
    </xf>
    <xf numFmtId="175" fontId="9" fillId="0" borderId="46" xfId="46" applyNumberFormat="1" applyFont="1" applyBorder="1" applyAlignment="1">
      <alignment horizontal="left" vertical="center" shrinkToFit="1"/>
    </xf>
    <xf numFmtId="172" fontId="9" fillId="0" borderId="45" xfId="46" applyNumberFormat="1" applyFont="1" applyFill="1" applyBorder="1" applyAlignment="1">
      <alignment vertical="center"/>
    </xf>
    <xf numFmtId="0" fontId="30" fillId="0" borderId="46" xfId="0" applyFont="1" applyFill="1" applyBorder="1" applyAlignment="1">
      <alignment horizontal="left" vertical="center" shrinkToFit="1"/>
    </xf>
    <xf numFmtId="0" fontId="9" fillId="0" borderId="46" xfId="0" applyFont="1" applyFill="1" applyBorder="1" applyAlignment="1">
      <alignment horizontal="left" vertical="center" shrinkToFit="1"/>
    </xf>
    <xf numFmtId="17" fontId="9" fillId="0" borderId="39" xfId="0" applyNumberFormat="1" applyFont="1" applyBorder="1" applyAlignment="1">
      <alignment horizontal="center" vertical="center"/>
    </xf>
    <xf numFmtId="0" fontId="9" fillId="0" borderId="47" xfId="0" applyFont="1" applyFill="1" applyBorder="1" applyAlignment="1">
      <alignment vertical="center"/>
    </xf>
    <xf numFmtId="0" fontId="9" fillId="0" borderId="48" xfId="0" applyFont="1" applyFill="1" applyBorder="1" applyAlignment="1">
      <alignment vertical="center"/>
    </xf>
    <xf numFmtId="0" fontId="9" fillId="0" borderId="23" xfId="0" applyFont="1" applyBorder="1" applyAlignment="1">
      <alignment vertical="center"/>
    </xf>
    <xf numFmtId="0" fontId="29" fillId="33" borderId="0" xfId="0" applyFont="1" applyFill="1" applyBorder="1" applyAlignment="1" quotePrefix="1">
      <alignment vertical="center"/>
    </xf>
    <xf numFmtId="0" fontId="27" fillId="33" borderId="0" xfId="0" applyFont="1" applyFill="1" applyBorder="1" applyAlignment="1">
      <alignment vertical="center"/>
    </xf>
    <xf numFmtId="9" fontId="29" fillId="33" borderId="0" xfId="52" applyFont="1" applyFill="1" applyBorder="1" applyAlignment="1">
      <alignment vertical="center"/>
    </xf>
    <xf numFmtId="0" fontId="9" fillId="0" borderId="44" xfId="0" applyFont="1" applyBorder="1" applyAlignment="1">
      <alignment vertical="center" wrapText="1"/>
    </xf>
    <xf numFmtId="0" fontId="9" fillId="0" borderId="11" xfId="0" applyFont="1" applyFill="1" applyBorder="1" applyAlignment="1">
      <alignment vertical="center"/>
    </xf>
    <xf numFmtId="0" fontId="9" fillId="0" borderId="49" xfId="0" applyFont="1" applyFill="1" applyBorder="1" applyAlignment="1">
      <alignment vertical="center"/>
    </xf>
    <xf numFmtId="0" fontId="9" fillId="33" borderId="0" xfId="0" applyFont="1" applyFill="1" applyBorder="1" applyAlignment="1">
      <alignment vertical="center"/>
    </xf>
    <xf numFmtId="0" fontId="9" fillId="33" borderId="13" xfId="0" applyFont="1" applyFill="1" applyBorder="1" applyAlignment="1">
      <alignment vertical="center"/>
    </xf>
    <xf numFmtId="0" fontId="9" fillId="33" borderId="18" xfId="0" applyFont="1" applyFill="1" applyBorder="1" applyAlignment="1">
      <alignment vertical="center"/>
    </xf>
    <xf numFmtId="0" fontId="9" fillId="0" borderId="50" xfId="0" applyFont="1" applyBorder="1" applyAlignment="1">
      <alignment vertical="center"/>
    </xf>
    <xf numFmtId="0" fontId="9" fillId="0" borderId="51" xfId="0" applyFont="1" applyBorder="1" applyAlignment="1">
      <alignment vertical="center"/>
    </xf>
    <xf numFmtId="0" fontId="9" fillId="0" borderId="52" xfId="0" applyFont="1" applyBorder="1" applyAlignment="1">
      <alignment horizontal="center" vertical="center"/>
    </xf>
    <xf numFmtId="0" fontId="9" fillId="0" borderId="52" xfId="0" applyFont="1" applyBorder="1" applyAlignment="1">
      <alignment vertical="center"/>
    </xf>
    <xf numFmtId="175" fontId="9" fillId="0" borderId="53" xfId="46" applyNumberFormat="1" applyFont="1" applyBorder="1" applyAlignment="1">
      <alignment vertical="center"/>
    </xf>
    <xf numFmtId="175" fontId="9" fillId="0" borderId="54" xfId="46" applyNumberFormat="1" applyFont="1" applyBorder="1" applyAlignment="1">
      <alignment horizontal="left" vertical="center" shrinkToFit="1"/>
    </xf>
    <xf numFmtId="172" fontId="9" fillId="0" borderId="53" xfId="46" applyNumberFormat="1" applyFont="1" applyFill="1" applyBorder="1" applyAlignment="1">
      <alignment vertical="center"/>
    </xf>
    <xf numFmtId="0" fontId="9" fillId="0" borderId="54" xfId="0" applyFont="1" applyFill="1" applyBorder="1" applyAlignment="1">
      <alignment horizontal="left" vertical="center" shrinkToFit="1"/>
    </xf>
    <xf numFmtId="0" fontId="9" fillId="0" borderId="12" xfId="0" applyFont="1" applyFill="1" applyBorder="1" applyAlignment="1">
      <alignment vertical="center"/>
    </xf>
    <xf numFmtId="0" fontId="9" fillId="0" borderId="55" xfId="0" applyFont="1" applyFill="1" applyBorder="1" applyAlignment="1">
      <alignment vertical="center"/>
    </xf>
    <xf numFmtId="0" fontId="9" fillId="0" borderId="44" xfId="0" applyFont="1" applyFill="1" applyBorder="1" applyAlignment="1">
      <alignment horizontal="center" vertical="center"/>
    </xf>
    <xf numFmtId="172" fontId="9" fillId="36" borderId="45" xfId="46" applyNumberFormat="1" applyFont="1" applyFill="1" applyBorder="1" applyAlignment="1">
      <alignment vertical="center"/>
    </xf>
    <xf numFmtId="0" fontId="30" fillId="0" borderId="56" xfId="0" applyFont="1" applyFill="1" applyBorder="1" applyAlignment="1">
      <alignment vertical="center"/>
    </xf>
    <xf numFmtId="175" fontId="30" fillId="0" borderId="11" xfId="46" applyNumberFormat="1" applyFont="1" applyFill="1" applyBorder="1" applyAlignment="1">
      <alignment vertical="center"/>
    </xf>
    <xf numFmtId="175" fontId="30" fillId="0" borderId="11" xfId="46" applyNumberFormat="1" applyFont="1" applyFill="1" applyBorder="1" applyAlignment="1">
      <alignment horizontal="left" vertical="center" shrinkToFit="1"/>
    </xf>
    <xf numFmtId="0" fontId="30" fillId="36" borderId="0" xfId="0" applyFont="1" applyFill="1" applyBorder="1" applyAlignment="1">
      <alignment vertical="center"/>
    </xf>
    <xf numFmtId="175" fontId="30" fillId="36" borderId="0" xfId="0" applyNumberFormat="1" applyFont="1" applyFill="1" applyBorder="1" applyAlignment="1">
      <alignment vertical="center"/>
    </xf>
    <xf numFmtId="0" fontId="30" fillId="36" borderId="0" xfId="0" applyFont="1" applyFill="1" applyBorder="1" applyAlignment="1">
      <alignment horizontal="left" vertical="center" shrinkToFit="1"/>
    </xf>
    <xf numFmtId="0" fontId="30" fillId="0" borderId="11" xfId="0" applyFont="1" applyFill="1" applyBorder="1" applyAlignment="1">
      <alignment vertical="center"/>
    </xf>
    <xf numFmtId="0" fontId="30" fillId="0" borderId="11" xfId="0" applyFont="1" applyFill="1" applyBorder="1" applyAlignment="1">
      <alignment horizontal="center" vertical="center"/>
    </xf>
    <xf numFmtId="172" fontId="9" fillId="0" borderId="12" xfId="46" applyNumberFormat="1" applyFont="1" applyFill="1" applyBorder="1" applyAlignment="1">
      <alignment horizontal="left" vertical="center" shrinkToFit="1"/>
    </xf>
    <xf numFmtId="172" fontId="9" fillId="0" borderId="0" xfId="46" applyNumberFormat="1" applyFont="1" applyBorder="1" applyAlignment="1">
      <alignment horizontal="left" vertical="center" shrinkToFit="1"/>
    </xf>
    <xf numFmtId="0" fontId="11" fillId="0" borderId="0" xfId="0" applyFont="1" applyBorder="1" applyAlignment="1">
      <alignment horizontal="right"/>
    </xf>
    <xf numFmtId="0" fontId="9" fillId="0" borderId="0" xfId="0" applyFont="1" applyAlignment="1">
      <alignment horizontal="center" vertical="center"/>
    </xf>
    <xf numFmtId="175" fontId="9" fillId="0" borderId="0" xfId="46" applyNumberFormat="1" applyFont="1" applyAlignment="1">
      <alignment vertical="center"/>
    </xf>
    <xf numFmtId="175" fontId="9" fillId="0" borderId="0" xfId="46" applyNumberFormat="1" applyFont="1" applyAlignment="1">
      <alignment horizontal="left" vertical="center" shrinkToFit="1"/>
    </xf>
    <xf numFmtId="0" fontId="9" fillId="0" borderId="0" xfId="0" applyFont="1" applyAlignment="1">
      <alignment horizontal="left" vertical="center" shrinkToFit="1"/>
    </xf>
    <xf numFmtId="0" fontId="8" fillId="0" borderId="0" xfId="0" applyFont="1" applyFill="1" applyBorder="1" applyAlignment="1">
      <alignment horizontal="right" vertical="center" wrapText="1"/>
    </xf>
    <xf numFmtId="0" fontId="31" fillId="0" borderId="0" xfId="0" applyFont="1" applyFill="1" applyBorder="1" applyAlignment="1">
      <alignment horizontal="right" vertical="center" wrapText="1"/>
    </xf>
    <xf numFmtId="49" fontId="31"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shrinkToFit="1"/>
    </xf>
    <xf numFmtId="0" fontId="9" fillId="0" borderId="39" xfId="0" applyFont="1" applyFill="1" applyBorder="1" applyAlignment="1">
      <alignment vertical="center" wrapText="1"/>
    </xf>
    <xf numFmtId="0" fontId="8" fillId="0" borderId="0" xfId="0" applyFont="1" applyFill="1" applyBorder="1" applyAlignment="1">
      <alignment horizontal="left" vertical="center" wrapText="1"/>
    </xf>
    <xf numFmtId="0" fontId="51" fillId="34" borderId="56" xfId="0" applyFont="1" applyFill="1" applyBorder="1" applyAlignment="1">
      <alignment horizontal="left" vertical="center"/>
    </xf>
    <xf numFmtId="0" fontId="51" fillId="34" borderId="11" xfId="0" applyFont="1" applyFill="1" applyBorder="1" applyAlignment="1">
      <alignment horizontal="left" vertical="center"/>
    </xf>
    <xf numFmtId="0" fontId="8" fillId="0" borderId="0" xfId="0" applyFont="1" applyFill="1" applyBorder="1" applyAlignment="1">
      <alignment horizontal="left" vertical="center" wrapText="1"/>
    </xf>
    <xf numFmtId="0" fontId="30" fillId="37" borderId="56" xfId="0" applyFont="1" applyFill="1" applyBorder="1" applyAlignment="1">
      <alignment vertical="center"/>
    </xf>
    <xf numFmtId="0" fontId="30" fillId="37" borderId="11" xfId="0" applyFont="1" applyFill="1" applyBorder="1" applyAlignment="1">
      <alignment vertical="center"/>
    </xf>
    <xf numFmtId="0" fontId="30" fillId="37" borderId="12" xfId="0" applyFont="1" applyFill="1" applyBorder="1" applyAlignment="1">
      <alignment vertical="center"/>
    </xf>
    <xf numFmtId="0" fontId="30" fillId="36" borderId="56" xfId="0" applyFont="1" applyFill="1" applyBorder="1" applyAlignment="1">
      <alignment vertical="center"/>
    </xf>
    <xf numFmtId="0" fontId="30" fillId="36" borderId="11" xfId="0" applyFont="1" applyFill="1" applyBorder="1" applyAlignment="1">
      <alignment vertical="center"/>
    </xf>
    <xf numFmtId="0" fontId="30" fillId="36" borderId="12" xfId="0" applyFont="1" applyFill="1" applyBorder="1" applyAlignment="1">
      <alignment vertical="center"/>
    </xf>
    <xf numFmtId="0" fontId="7" fillId="0" borderId="0" xfId="0" applyFont="1" applyBorder="1" applyAlignment="1">
      <alignment horizontal="center" vertical="center"/>
    </xf>
    <xf numFmtId="0" fontId="27" fillId="34" borderId="10" xfId="0" applyFont="1" applyFill="1" applyBorder="1" applyAlignment="1">
      <alignment horizontal="center" vertical="center"/>
    </xf>
    <xf numFmtId="0" fontId="27" fillId="34" borderId="57" xfId="0" applyFont="1" applyFill="1" applyBorder="1" applyAlignment="1">
      <alignment horizontal="center" vertical="center"/>
    </xf>
    <xf numFmtId="0" fontId="27" fillId="34" borderId="58" xfId="0" applyFont="1" applyFill="1" applyBorder="1" applyAlignment="1">
      <alignment horizontal="center" vertical="center"/>
    </xf>
    <xf numFmtId="0" fontId="27" fillId="34" borderId="57" xfId="0" applyFont="1" applyFill="1" applyBorder="1" applyAlignment="1">
      <alignment horizontal="center" vertical="center" wrapText="1"/>
    </xf>
    <xf numFmtId="0" fontId="27" fillId="34" borderId="58" xfId="0" applyFont="1" applyFill="1" applyBorder="1" applyAlignment="1">
      <alignment horizontal="center" vertical="center" wrapText="1"/>
    </xf>
    <xf numFmtId="0" fontId="27" fillId="38" borderId="57" xfId="0" applyFont="1" applyFill="1" applyBorder="1" applyAlignment="1">
      <alignment horizontal="left" vertical="center"/>
    </xf>
    <xf numFmtId="0" fontId="27" fillId="38" borderId="59" xfId="0" applyFont="1" applyFill="1" applyBorder="1" applyAlignment="1">
      <alignment horizontal="left" vertical="center"/>
    </xf>
    <xf numFmtId="0" fontId="27" fillId="38" borderId="58" xfId="0" applyFont="1" applyFill="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K437"/>
  <sheetViews>
    <sheetView showGridLines="0" tabSelected="1" zoomScale="90" zoomScaleNormal="90" zoomScaleSheetLayoutView="100" zoomScalePageLayoutView="0" workbookViewId="0" topLeftCell="A1">
      <selection activeCell="A6" sqref="A6:IV6"/>
    </sheetView>
  </sheetViews>
  <sheetFormatPr defaultColWidth="9.140625" defaultRowHeight="15.75" customHeight="1"/>
  <cols>
    <col min="1" max="1" width="4.57421875" style="4" customWidth="1"/>
    <col min="2" max="2" width="4.140625" style="4" bestFit="1" customWidth="1"/>
    <col min="3" max="3" width="14.28125" style="8" customWidth="1"/>
    <col min="4" max="4" width="66.00390625" style="4" bestFit="1" customWidth="1"/>
    <col min="5" max="5" width="19.57421875" style="8" customWidth="1"/>
    <col min="6" max="6" width="16.8515625" style="6" bestFit="1" customWidth="1"/>
    <col min="7" max="7" width="3.8515625" style="12" customWidth="1"/>
    <col min="8" max="8" width="17.57421875" style="6" customWidth="1"/>
    <col min="9" max="9" width="3.8515625" style="13" customWidth="1"/>
    <col min="10" max="10" width="17.421875" style="14" customWidth="1"/>
    <col min="11" max="11" width="20.00390625" style="14" customWidth="1"/>
    <col min="12" max="21" width="9.140625" style="3" customWidth="1"/>
    <col min="22" max="38" width="9.140625" style="1" customWidth="1"/>
    <col min="39" max="114" width="9.140625" style="2" customWidth="1"/>
    <col min="115" max="16384" width="9.140625" style="4" customWidth="1"/>
  </cols>
  <sheetData>
    <row r="1" spans="1:9" ht="15.75" customHeight="1">
      <c r="A1" s="5"/>
      <c r="B1" s="5"/>
      <c r="C1" s="7"/>
      <c r="D1" s="5"/>
      <c r="E1" s="7"/>
      <c r="F1" s="9"/>
      <c r="G1" s="10"/>
      <c r="H1" s="9"/>
      <c r="I1" s="11"/>
    </row>
    <row r="2" spans="1:9" ht="15.75" customHeight="1">
      <c r="A2" s="5"/>
      <c r="B2" s="5"/>
      <c r="C2" s="16" t="s">
        <v>695</v>
      </c>
      <c r="D2" s="5"/>
      <c r="E2" s="7"/>
      <c r="F2" s="9"/>
      <c r="G2" s="10"/>
      <c r="H2" s="9"/>
      <c r="I2" s="11"/>
    </row>
    <row r="3" spans="1:9" ht="15.75" customHeight="1">
      <c r="A3" s="5"/>
      <c r="B3" s="5"/>
      <c r="C3" s="17" t="s">
        <v>582</v>
      </c>
      <c r="D3" s="5"/>
      <c r="E3" s="7"/>
      <c r="F3" s="9"/>
      <c r="G3" s="10"/>
      <c r="H3" s="9"/>
      <c r="I3" s="11"/>
    </row>
    <row r="4" spans="1:9" ht="18.75" customHeight="1" thickBot="1">
      <c r="A4" s="176"/>
      <c r="B4" s="176"/>
      <c r="C4" s="176"/>
      <c r="D4" s="176"/>
      <c r="E4" s="176"/>
      <c r="F4" s="176"/>
      <c r="G4" s="176"/>
      <c r="H4" s="176"/>
      <c r="I4" s="176"/>
    </row>
    <row r="5" spans="1:114" s="31" customFormat="1" ht="43.5" customHeight="1" thickBot="1">
      <c r="A5" s="177" t="s">
        <v>469</v>
      </c>
      <c r="B5" s="177"/>
      <c r="C5" s="15" t="s">
        <v>422</v>
      </c>
      <c r="D5" s="15" t="s">
        <v>371</v>
      </c>
      <c r="E5" s="15" t="s">
        <v>423</v>
      </c>
      <c r="F5" s="178" t="s">
        <v>686</v>
      </c>
      <c r="G5" s="179"/>
      <c r="H5" s="180" t="s">
        <v>689</v>
      </c>
      <c r="I5" s="181"/>
      <c r="J5" s="27"/>
      <c r="K5" s="27"/>
      <c r="L5" s="28"/>
      <c r="M5" s="28"/>
      <c r="N5" s="28"/>
      <c r="O5" s="28"/>
      <c r="P5" s="28"/>
      <c r="Q5" s="28"/>
      <c r="R5" s="28"/>
      <c r="S5" s="28"/>
      <c r="T5" s="28"/>
      <c r="U5" s="28"/>
      <c r="V5" s="29"/>
      <c r="W5" s="29"/>
      <c r="X5" s="29"/>
      <c r="Y5" s="29"/>
      <c r="Z5" s="29"/>
      <c r="AA5" s="29"/>
      <c r="AB5" s="29"/>
      <c r="AC5" s="29"/>
      <c r="AD5" s="29"/>
      <c r="AE5" s="29"/>
      <c r="AF5" s="29"/>
      <c r="AG5" s="29"/>
      <c r="AH5" s="29"/>
      <c r="AI5" s="29"/>
      <c r="AJ5" s="29"/>
      <c r="AK5" s="29"/>
      <c r="AL5" s="29"/>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row>
    <row r="6" spans="1:114" s="34" customFormat="1" ht="24.75" customHeight="1" thickBot="1">
      <c r="A6" s="182" t="s">
        <v>430</v>
      </c>
      <c r="B6" s="183"/>
      <c r="C6" s="183"/>
      <c r="D6" s="183"/>
      <c r="E6" s="183"/>
      <c r="F6" s="183"/>
      <c r="G6" s="183"/>
      <c r="H6" s="183"/>
      <c r="I6" s="184"/>
      <c r="J6" s="33"/>
      <c r="K6" s="23"/>
      <c r="L6" s="23"/>
      <c r="M6" s="23"/>
      <c r="N6" s="23"/>
      <c r="O6" s="23"/>
      <c r="P6" s="23"/>
      <c r="Q6" s="23"/>
      <c r="R6" s="23"/>
      <c r="S6" s="23"/>
      <c r="T6" s="23"/>
      <c r="U6" s="23"/>
      <c r="V6" s="24"/>
      <c r="W6" s="24"/>
      <c r="X6" s="24"/>
      <c r="Y6" s="24"/>
      <c r="Z6" s="24"/>
      <c r="AA6" s="24"/>
      <c r="AB6" s="24"/>
      <c r="AC6" s="24"/>
      <c r="AD6" s="24"/>
      <c r="AE6" s="24"/>
      <c r="AF6" s="24"/>
      <c r="AG6" s="24"/>
      <c r="AH6" s="24"/>
      <c r="AI6" s="24"/>
      <c r="AJ6" s="24"/>
      <c r="AK6" s="24"/>
      <c r="AL6" s="24"/>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row>
    <row r="7" spans="1:114" s="38" customFormat="1" ht="19.5" customHeight="1">
      <c r="A7" s="173" t="s">
        <v>192</v>
      </c>
      <c r="B7" s="174"/>
      <c r="C7" s="174"/>
      <c r="D7" s="174"/>
      <c r="E7" s="174"/>
      <c r="F7" s="174"/>
      <c r="G7" s="174"/>
      <c r="H7" s="174"/>
      <c r="I7" s="175"/>
      <c r="J7" s="35"/>
      <c r="K7" s="35"/>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row>
    <row r="8" spans="1:114" s="34" customFormat="1" ht="15.75" customHeight="1">
      <c r="A8" s="170">
        <v>1991</v>
      </c>
      <c r="B8" s="171"/>
      <c r="C8" s="171"/>
      <c r="D8" s="171"/>
      <c r="E8" s="171"/>
      <c r="F8" s="171"/>
      <c r="G8" s="171"/>
      <c r="H8" s="171"/>
      <c r="I8" s="172"/>
      <c r="J8" s="33"/>
      <c r="K8" s="33"/>
      <c r="L8" s="23"/>
      <c r="M8" s="23"/>
      <c r="N8" s="23"/>
      <c r="O8" s="23"/>
      <c r="P8" s="23"/>
      <c r="Q8" s="23"/>
      <c r="R8" s="23"/>
      <c r="S8" s="23"/>
      <c r="T8" s="23"/>
      <c r="U8" s="23"/>
      <c r="V8" s="24"/>
      <c r="W8" s="24"/>
      <c r="X8" s="24"/>
      <c r="Y8" s="24"/>
      <c r="Z8" s="24"/>
      <c r="AA8" s="24"/>
      <c r="AB8" s="24"/>
      <c r="AC8" s="24"/>
      <c r="AD8" s="24"/>
      <c r="AE8" s="24"/>
      <c r="AF8" s="24"/>
      <c r="AG8" s="24"/>
      <c r="AH8" s="24"/>
      <c r="AI8" s="24"/>
      <c r="AJ8" s="24"/>
      <c r="AK8" s="24"/>
      <c r="AL8" s="24"/>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row>
    <row r="9" spans="1:114" s="34" customFormat="1" ht="15.75" customHeight="1">
      <c r="A9" s="61">
        <v>1</v>
      </c>
      <c r="B9" s="62">
        <v>1</v>
      </c>
      <c r="C9" s="63" t="s">
        <v>431</v>
      </c>
      <c r="D9" s="64" t="s">
        <v>471</v>
      </c>
      <c r="E9" s="63" t="s">
        <v>472</v>
      </c>
      <c r="F9" s="65">
        <v>1083140</v>
      </c>
      <c r="G9" s="66"/>
      <c r="H9" s="65"/>
      <c r="I9" s="67"/>
      <c r="J9" s="22">
        <f>+F9</f>
        <v>1083140</v>
      </c>
      <c r="K9" s="33"/>
      <c r="L9" s="23"/>
      <c r="M9" s="23"/>
      <c r="N9" s="23"/>
      <c r="O9" s="23"/>
      <c r="P9" s="23"/>
      <c r="Q9" s="23"/>
      <c r="R9" s="23"/>
      <c r="S9" s="23"/>
      <c r="T9" s="23"/>
      <c r="U9" s="23"/>
      <c r="V9" s="24"/>
      <c r="W9" s="24"/>
      <c r="X9" s="24"/>
      <c r="Y9" s="24"/>
      <c r="Z9" s="24"/>
      <c r="AA9" s="24"/>
      <c r="AB9" s="24"/>
      <c r="AC9" s="24"/>
      <c r="AD9" s="24"/>
      <c r="AE9" s="24"/>
      <c r="AF9" s="24"/>
      <c r="AG9" s="24"/>
      <c r="AH9" s="24"/>
      <c r="AI9" s="24"/>
      <c r="AJ9" s="24"/>
      <c r="AK9" s="24"/>
      <c r="AL9" s="24"/>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row>
    <row r="10" spans="1:114" s="34" customFormat="1" ht="15.75" customHeight="1">
      <c r="A10" s="68">
        <f>A9+1</f>
        <v>2</v>
      </c>
      <c r="B10" s="69">
        <v>2</v>
      </c>
      <c r="C10" s="70" t="s">
        <v>473</v>
      </c>
      <c r="D10" s="71" t="s">
        <v>474</v>
      </c>
      <c r="E10" s="70" t="s">
        <v>427</v>
      </c>
      <c r="F10" s="72">
        <v>1510707</v>
      </c>
      <c r="G10" s="73"/>
      <c r="H10" s="74"/>
      <c r="I10" s="75"/>
      <c r="J10" s="22">
        <f>+F10</f>
        <v>1510707</v>
      </c>
      <c r="K10" s="33"/>
      <c r="L10" s="23"/>
      <c r="M10" s="23"/>
      <c r="N10" s="23"/>
      <c r="O10" s="23"/>
      <c r="P10" s="23"/>
      <c r="Q10" s="23"/>
      <c r="R10" s="23"/>
      <c r="S10" s="23"/>
      <c r="T10" s="23"/>
      <c r="U10" s="23"/>
      <c r="V10" s="24"/>
      <c r="W10" s="24"/>
      <c r="X10" s="24"/>
      <c r="Y10" s="24"/>
      <c r="Z10" s="24"/>
      <c r="AA10" s="24"/>
      <c r="AB10" s="24"/>
      <c r="AC10" s="24"/>
      <c r="AD10" s="24"/>
      <c r="AE10" s="24"/>
      <c r="AF10" s="24"/>
      <c r="AG10" s="24"/>
      <c r="AH10" s="24"/>
      <c r="AI10" s="24"/>
      <c r="AJ10" s="24"/>
      <c r="AK10" s="24"/>
      <c r="AL10" s="24"/>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row>
    <row r="11" spans="1:114" s="26" customFormat="1" ht="15.75" customHeight="1">
      <c r="A11" s="167" t="s">
        <v>475</v>
      </c>
      <c r="B11" s="168"/>
      <c r="C11" s="168"/>
      <c r="D11" s="168"/>
      <c r="E11" s="18"/>
      <c r="F11" s="19">
        <f>SUM(F9:F10)</f>
        <v>2593847</v>
      </c>
      <c r="G11" s="19"/>
      <c r="H11" s="20"/>
      <c r="I11" s="21"/>
      <c r="J11" s="22"/>
      <c r="K11" s="33"/>
      <c r="L11" s="23"/>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row>
    <row r="12" spans="1:114" s="34" customFormat="1" ht="5.25" customHeight="1">
      <c r="A12" s="76"/>
      <c r="B12" s="76"/>
      <c r="C12" s="77"/>
      <c r="D12" s="76"/>
      <c r="E12" s="78"/>
      <c r="F12" s="79"/>
      <c r="G12" s="80"/>
      <c r="H12" s="81"/>
      <c r="I12" s="82"/>
      <c r="J12" s="22">
        <f aca="true" t="shared" si="0" ref="J12:J24">+F12</f>
        <v>0</v>
      </c>
      <c r="K12" s="33"/>
      <c r="L12" s="23"/>
      <c r="M12" s="23"/>
      <c r="N12" s="23"/>
      <c r="O12" s="23"/>
      <c r="P12" s="23"/>
      <c r="Q12" s="23"/>
      <c r="R12" s="23"/>
      <c r="S12" s="23"/>
      <c r="T12" s="23"/>
      <c r="U12" s="23"/>
      <c r="V12" s="24"/>
      <c r="W12" s="24"/>
      <c r="X12" s="24"/>
      <c r="Y12" s="24"/>
      <c r="Z12" s="24"/>
      <c r="AA12" s="24"/>
      <c r="AB12" s="24"/>
      <c r="AC12" s="24"/>
      <c r="AD12" s="24"/>
      <c r="AE12" s="24"/>
      <c r="AF12" s="24"/>
      <c r="AG12" s="24"/>
      <c r="AH12" s="24"/>
      <c r="AI12" s="24"/>
      <c r="AJ12" s="24"/>
      <c r="AK12" s="24"/>
      <c r="AL12" s="24"/>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row>
    <row r="13" spans="1:114" s="38" customFormat="1" ht="15.75" customHeight="1">
      <c r="A13" s="173" t="s">
        <v>193</v>
      </c>
      <c r="B13" s="174"/>
      <c r="C13" s="174"/>
      <c r="D13" s="174"/>
      <c r="E13" s="174"/>
      <c r="F13" s="174"/>
      <c r="G13" s="174"/>
      <c r="H13" s="174"/>
      <c r="I13" s="175"/>
      <c r="J13" s="59">
        <f t="shared" si="0"/>
        <v>0</v>
      </c>
      <c r="K13" s="35"/>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row>
    <row r="14" spans="1:114" s="34" customFormat="1" ht="15.75" customHeight="1">
      <c r="A14" s="170">
        <v>1992</v>
      </c>
      <c r="B14" s="171"/>
      <c r="C14" s="171"/>
      <c r="D14" s="171"/>
      <c r="E14" s="171"/>
      <c r="F14" s="171"/>
      <c r="G14" s="171"/>
      <c r="H14" s="171"/>
      <c r="I14" s="172"/>
      <c r="J14" s="22">
        <f t="shared" si="0"/>
        <v>0</v>
      </c>
      <c r="K14" s="33"/>
      <c r="L14" s="23"/>
      <c r="M14" s="23"/>
      <c r="N14" s="23"/>
      <c r="O14" s="23"/>
      <c r="P14" s="23"/>
      <c r="Q14" s="23"/>
      <c r="R14" s="23"/>
      <c r="S14" s="23"/>
      <c r="T14" s="23"/>
      <c r="U14" s="23"/>
      <c r="V14" s="24"/>
      <c r="W14" s="24"/>
      <c r="X14" s="24"/>
      <c r="Y14" s="24"/>
      <c r="Z14" s="24"/>
      <c r="AA14" s="24"/>
      <c r="AB14" s="24"/>
      <c r="AC14" s="24"/>
      <c r="AD14" s="24"/>
      <c r="AE14" s="24"/>
      <c r="AF14" s="24"/>
      <c r="AG14" s="24"/>
      <c r="AH14" s="24"/>
      <c r="AI14" s="24"/>
      <c r="AJ14" s="24"/>
      <c r="AK14" s="24"/>
      <c r="AL14" s="24"/>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row>
    <row r="15" spans="1:114" s="34" customFormat="1" ht="15.75" customHeight="1">
      <c r="A15" s="83">
        <f>1</f>
        <v>1</v>
      </c>
      <c r="B15" s="62">
        <v>1</v>
      </c>
      <c r="C15" s="63" t="s">
        <v>476</v>
      </c>
      <c r="D15" s="64" t="s">
        <v>477</v>
      </c>
      <c r="E15" s="63" t="s">
        <v>427</v>
      </c>
      <c r="F15" s="84">
        <v>1291101</v>
      </c>
      <c r="G15" s="85"/>
      <c r="H15" s="65"/>
      <c r="I15" s="67"/>
      <c r="J15" s="22">
        <f t="shared" si="0"/>
        <v>1291101</v>
      </c>
      <c r="K15" s="33"/>
      <c r="L15" s="23"/>
      <c r="M15" s="23"/>
      <c r="N15" s="23"/>
      <c r="O15" s="23"/>
      <c r="P15" s="23"/>
      <c r="Q15" s="23"/>
      <c r="R15" s="23"/>
      <c r="S15" s="23"/>
      <c r="T15" s="23"/>
      <c r="U15" s="23"/>
      <c r="V15" s="24"/>
      <c r="W15" s="24"/>
      <c r="X15" s="24"/>
      <c r="Y15" s="24"/>
      <c r="Z15" s="24"/>
      <c r="AA15" s="24"/>
      <c r="AB15" s="24"/>
      <c r="AC15" s="24"/>
      <c r="AD15" s="24"/>
      <c r="AE15" s="24"/>
      <c r="AF15" s="24"/>
      <c r="AG15" s="24"/>
      <c r="AH15" s="24"/>
      <c r="AI15" s="24"/>
      <c r="AJ15" s="24"/>
      <c r="AK15" s="24"/>
      <c r="AL15" s="24"/>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row>
    <row r="16" spans="1:114" s="34" customFormat="1" ht="15.75" customHeight="1">
      <c r="A16" s="86">
        <f aca="true" t="shared" si="1" ref="A16:B24">A15+1</f>
        <v>2</v>
      </c>
      <c r="B16" s="87">
        <f t="shared" si="1"/>
        <v>2</v>
      </c>
      <c r="C16" s="88" t="s">
        <v>478</v>
      </c>
      <c r="D16" s="89" t="s">
        <v>479</v>
      </c>
      <c r="E16" s="88" t="s">
        <v>472</v>
      </c>
      <c r="F16" s="90">
        <v>5365553</v>
      </c>
      <c r="G16" s="91"/>
      <c r="H16" s="92"/>
      <c r="I16" s="93"/>
      <c r="J16" s="22">
        <f t="shared" si="0"/>
        <v>5365553</v>
      </c>
      <c r="K16" s="22">
        <f aca="true" t="shared" si="2" ref="K16:K24">+H16</f>
        <v>0</v>
      </c>
      <c r="L16" s="23"/>
      <c r="M16" s="23"/>
      <c r="N16" s="23"/>
      <c r="O16" s="23"/>
      <c r="P16" s="23"/>
      <c r="Q16" s="23"/>
      <c r="R16" s="23"/>
      <c r="S16" s="23"/>
      <c r="T16" s="23"/>
      <c r="U16" s="23"/>
      <c r="V16" s="24"/>
      <c r="W16" s="24"/>
      <c r="X16" s="24"/>
      <c r="Y16" s="24"/>
      <c r="Z16" s="24"/>
      <c r="AA16" s="24"/>
      <c r="AB16" s="24"/>
      <c r="AC16" s="24"/>
      <c r="AD16" s="24"/>
      <c r="AE16" s="24"/>
      <c r="AF16" s="24"/>
      <c r="AG16" s="24"/>
      <c r="AH16" s="24"/>
      <c r="AI16" s="24"/>
      <c r="AJ16" s="24"/>
      <c r="AK16" s="24"/>
      <c r="AL16" s="24"/>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row>
    <row r="17" spans="1:114" s="26" customFormat="1" ht="15.75" customHeight="1">
      <c r="A17" s="94">
        <f t="shared" si="1"/>
        <v>3</v>
      </c>
      <c r="B17" s="95">
        <f t="shared" si="1"/>
        <v>3</v>
      </c>
      <c r="C17" s="96" t="s">
        <v>480</v>
      </c>
      <c r="D17" s="97" t="s">
        <v>481</v>
      </c>
      <c r="E17" s="96" t="s">
        <v>424</v>
      </c>
      <c r="F17" s="98">
        <f>26488036+11160406+1135934.3</f>
        <v>38784376.3</v>
      </c>
      <c r="G17" s="99"/>
      <c r="H17" s="92"/>
      <c r="I17" s="93"/>
      <c r="J17" s="22">
        <f t="shared" si="0"/>
        <v>38784376.3</v>
      </c>
      <c r="K17" s="22">
        <f t="shared" si="2"/>
        <v>0</v>
      </c>
      <c r="L17" s="23"/>
      <c r="M17" s="23"/>
      <c r="N17" s="23"/>
      <c r="O17" s="23"/>
      <c r="P17" s="23"/>
      <c r="Q17" s="23"/>
      <c r="R17" s="23"/>
      <c r="S17" s="23"/>
      <c r="T17" s="23"/>
      <c r="U17" s="23"/>
      <c r="V17" s="24"/>
      <c r="W17" s="24"/>
      <c r="X17" s="24"/>
      <c r="Y17" s="24"/>
      <c r="Z17" s="24"/>
      <c r="AA17" s="24"/>
      <c r="AB17" s="24"/>
      <c r="AC17" s="24"/>
      <c r="AD17" s="24"/>
      <c r="AE17" s="24"/>
      <c r="AF17" s="24"/>
      <c r="AG17" s="24"/>
      <c r="AH17" s="24"/>
      <c r="AI17" s="24"/>
      <c r="AJ17" s="24"/>
      <c r="AK17" s="24"/>
      <c r="AL17" s="24"/>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row>
    <row r="18" spans="1:114" s="34" customFormat="1" ht="15.75" customHeight="1">
      <c r="A18" s="86">
        <f t="shared" si="1"/>
        <v>4</v>
      </c>
      <c r="B18" s="87">
        <f t="shared" si="1"/>
        <v>4</v>
      </c>
      <c r="C18" s="88" t="s">
        <v>482</v>
      </c>
      <c r="D18" s="89" t="s">
        <v>483</v>
      </c>
      <c r="E18" s="88" t="s">
        <v>484</v>
      </c>
      <c r="F18" s="90">
        <v>806896</v>
      </c>
      <c r="G18" s="91"/>
      <c r="H18" s="92">
        <v>2000000</v>
      </c>
      <c r="I18" s="93"/>
      <c r="J18" s="22">
        <f t="shared" si="0"/>
        <v>806896</v>
      </c>
      <c r="K18" s="22">
        <f t="shared" si="2"/>
        <v>2000000</v>
      </c>
      <c r="L18" s="23"/>
      <c r="M18" s="23"/>
      <c r="N18" s="23"/>
      <c r="O18" s="23"/>
      <c r="P18" s="23"/>
      <c r="Q18" s="23"/>
      <c r="R18" s="23"/>
      <c r="S18" s="23"/>
      <c r="T18" s="23"/>
      <c r="U18" s="23"/>
      <c r="V18" s="24"/>
      <c r="W18" s="24"/>
      <c r="X18" s="24"/>
      <c r="Y18" s="24"/>
      <c r="Z18" s="24"/>
      <c r="AA18" s="24"/>
      <c r="AB18" s="24"/>
      <c r="AC18" s="24"/>
      <c r="AD18" s="24"/>
      <c r="AE18" s="24"/>
      <c r="AF18" s="24"/>
      <c r="AG18" s="24"/>
      <c r="AH18" s="24"/>
      <c r="AI18" s="24"/>
      <c r="AJ18" s="24"/>
      <c r="AK18" s="24"/>
      <c r="AL18" s="24"/>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row>
    <row r="19" spans="1:114" s="34" customFormat="1" ht="15.75" customHeight="1">
      <c r="A19" s="86">
        <f t="shared" si="1"/>
        <v>5</v>
      </c>
      <c r="B19" s="87">
        <f t="shared" si="1"/>
        <v>5</v>
      </c>
      <c r="C19" s="88" t="s">
        <v>485</v>
      </c>
      <c r="D19" s="89" t="s">
        <v>486</v>
      </c>
      <c r="E19" s="88" t="s">
        <v>487</v>
      </c>
      <c r="F19" s="90">
        <v>6564611</v>
      </c>
      <c r="G19" s="91"/>
      <c r="H19" s="92"/>
      <c r="I19" s="93"/>
      <c r="J19" s="22">
        <f t="shared" si="0"/>
        <v>6564611</v>
      </c>
      <c r="K19" s="22">
        <f t="shared" si="2"/>
        <v>0</v>
      </c>
      <c r="L19" s="23"/>
      <c r="M19" s="23"/>
      <c r="N19" s="23"/>
      <c r="O19" s="23"/>
      <c r="P19" s="23"/>
      <c r="Q19" s="23"/>
      <c r="R19" s="23"/>
      <c r="S19" s="23"/>
      <c r="T19" s="23"/>
      <c r="U19" s="23"/>
      <c r="V19" s="24"/>
      <c r="W19" s="24"/>
      <c r="X19" s="24"/>
      <c r="Y19" s="24"/>
      <c r="Z19" s="24"/>
      <c r="AA19" s="24"/>
      <c r="AB19" s="24"/>
      <c r="AC19" s="24"/>
      <c r="AD19" s="24"/>
      <c r="AE19" s="24"/>
      <c r="AF19" s="24"/>
      <c r="AG19" s="24"/>
      <c r="AH19" s="24"/>
      <c r="AI19" s="24"/>
      <c r="AJ19" s="24"/>
      <c r="AK19" s="24"/>
      <c r="AL19" s="24"/>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row>
    <row r="20" spans="1:114" s="34" customFormat="1" ht="15.75" customHeight="1">
      <c r="A20" s="86">
        <f t="shared" si="1"/>
        <v>6</v>
      </c>
      <c r="B20" s="87">
        <f t="shared" si="1"/>
        <v>6</v>
      </c>
      <c r="C20" s="88" t="s">
        <v>488</v>
      </c>
      <c r="D20" s="89" t="s">
        <v>489</v>
      </c>
      <c r="E20" s="88" t="s">
        <v>490</v>
      </c>
      <c r="F20" s="90">
        <v>11066486</v>
      </c>
      <c r="G20" s="91"/>
      <c r="H20" s="92"/>
      <c r="I20" s="93"/>
      <c r="J20" s="22">
        <f t="shared" si="0"/>
        <v>11066486</v>
      </c>
      <c r="K20" s="22">
        <f t="shared" si="2"/>
        <v>0</v>
      </c>
      <c r="L20" s="23"/>
      <c r="M20" s="23"/>
      <c r="N20" s="23"/>
      <c r="O20" s="23"/>
      <c r="P20" s="23"/>
      <c r="Q20" s="23"/>
      <c r="R20" s="23"/>
      <c r="S20" s="23"/>
      <c r="T20" s="23"/>
      <c r="U20" s="23"/>
      <c r="V20" s="24"/>
      <c r="W20" s="24"/>
      <c r="X20" s="24"/>
      <c r="Y20" s="24"/>
      <c r="Z20" s="24"/>
      <c r="AA20" s="24"/>
      <c r="AB20" s="24"/>
      <c r="AC20" s="24"/>
      <c r="AD20" s="24"/>
      <c r="AE20" s="24"/>
      <c r="AF20" s="24"/>
      <c r="AG20" s="24"/>
      <c r="AH20" s="24"/>
      <c r="AI20" s="24"/>
      <c r="AJ20" s="24"/>
      <c r="AK20" s="24"/>
      <c r="AL20" s="24"/>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row>
    <row r="21" spans="1:114" s="34" customFormat="1" ht="15.75" customHeight="1">
      <c r="A21" s="86">
        <f t="shared" si="1"/>
        <v>7</v>
      </c>
      <c r="B21" s="87">
        <f t="shared" si="1"/>
        <v>7</v>
      </c>
      <c r="C21" s="88" t="s">
        <v>491</v>
      </c>
      <c r="D21" s="89" t="s">
        <v>492</v>
      </c>
      <c r="E21" s="88" t="s">
        <v>424</v>
      </c>
      <c r="F21" s="90">
        <v>7546655</v>
      </c>
      <c r="G21" s="91"/>
      <c r="H21" s="92">
        <v>5000000</v>
      </c>
      <c r="I21" s="93"/>
      <c r="J21" s="22">
        <f t="shared" si="0"/>
        <v>7546655</v>
      </c>
      <c r="K21" s="22">
        <f t="shared" si="2"/>
        <v>5000000</v>
      </c>
      <c r="L21" s="23"/>
      <c r="M21" s="23"/>
      <c r="N21" s="23"/>
      <c r="O21" s="23"/>
      <c r="P21" s="23"/>
      <c r="Q21" s="23"/>
      <c r="R21" s="23"/>
      <c r="S21" s="23"/>
      <c r="T21" s="23"/>
      <c r="U21" s="23"/>
      <c r="V21" s="24"/>
      <c r="W21" s="24"/>
      <c r="X21" s="24"/>
      <c r="Y21" s="24"/>
      <c r="Z21" s="24"/>
      <c r="AA21" s="24"/>
      <c r="AB21" s="24"/>
      <c r="AC21" s="24"/>
      <c r="AD21" s="24"/>
      <c r="AE21" s="24"/>
      <c r="AF21" s="24"/>
      <c r="AG21" s="24"/>
      <c r="AH21" s="24"/>
      <c r="AI21" s="24"/>
      <c r="AJ21" s="24"/>
      <c r="AK21" s="24"/>
      <c r="AL21" s="24"/>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row>
    <row r="22" spans="1:114" s="34" customFormat="1" ht="15.75" customHeight="1">
      <c r="A22" s="86">
        <f t="shared" si="1"/>
        <v>8</v>
      </c>
      <c r="B22" s="87">
        <f t="shared" si="1"/>
        <v>8</v>
      </c>
      <c r="C22" s="88" t="s">
        <v>493</v>
      </c>
      <c r="D22" s="89" t="s">
        <v>494</v>
      </c>
      <c r="E22" s="88" t="s">
        <v>495</v>
      </c>
      <c r="F22" s="90">
        <v>4100000</v>
      </c>
      <c r="G22" s="91"/>
      <c r="H22" s="92"/>
      <c r="I22" s="93"/>
      <c r="J22" s="22">
        <f t="shared" si="0"/>
        <v>4100000</v>
      </c>
      <c r="K22" s="22">
        <f t="shared" si="2"/>
        <v>0</v>
      </c>
      <c r="L22" s="23"/>
      <c r="M22" s="23"/>
      <c r="N22" s="23"/>
      <c r="O22" s="23"/>
      <c r="P22" s="23"/>
      <c r="Q22" s="23"/>
      <c r="R22" s="23"/>
      <c r="S22" s="23"/>
      <c r="T22" s="23"/>
      <c r="U22" s="23"/>
      <c r="V22" s="24"/>
      <c r="W22" s="24"/>
      <c r="X22" s="24"/>
      <c r="Y22" s="24"/>
      <c r="Z22" s="24"/>
      <c r="AA22" s="24"/>
      <c r="AB22" s="24"/>
      <c r="AC22" s="24"/>
      <c r="AD22" s="24"/>
      <c r="AE22" s="24"/>
      <c r="AF22" s="24"/>
      <c r="AG22" s="24"/>
      <c r="AH22" s="24"/>
      <c r="AI22" s="24"/>
      <c r="AJ22" s="24"/>
      <c r="AK22" s="24"/>
      <c r="AL22" s="24"/>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row>
    <row r="23" spans="1:114" s="34" customFormat="1" ht="15.75" customHeight="1">
      <c r="A23" s="100">
        <f t="shared" si="1"/>
        <v>9</v>
      </c>
      <c r="B23" s="87">
        <f t="shared" si="1"/>
        <v>9</v>
      </c>
      <c r="C23" s="88" t="s">
        <v>496</v>
      </c>
      <c r="D23" s="89" t="s">
        <v>497</v>
      </c>
      <c r="E23" s="88" t="s">
        <v>427</v>
      </c>
      <c r="F23" s="90">
        <v>120000000</v>
      </c>
      <c r="G23" s="91"/>
      <c r="H23" s="92">
        <v>137000000</v>
      </c>
      <c r="I23" s="101" t="s">
        <v>498</v>
      </c>
      <c r="J23" s="22">
        <f t="shared" si="0"/>
        <v>120000000</v>
      </c>
      <c r="K23" s="22">
        <f t="shared" si="2"/>
        <v>137000000</v>
      </c>
      <c r="L23" s="23"/>
      <c r="M23" s="23"/>
      <c r="N23" s="23"/>
      <c r="O23" s="23"/>
      <c r="P23" s="23"/>
      <c r="Q23" s="23"/>
      <c r="R23" s="23"/>
      <c r="S23" s="23"/>
      <c r="T23" s="23"/>
      <c r="U23" s="23"/>
      <c r="V23" s="24"/>
      <c r="W23" s="24"/>
      <c r="X23" s="24"/>
      <c r="Y23" s="24"/>
      <c r="Z23" s="24"/>
      <c r="AA23" s="24"/>
      <c r="AB23" s="24"/>
      <c r="AC23" s="24"/>
      <c r="AD23" s="24"/>
      <c r="AE23" s="24"/>
      <c r="AF23" s="24"/>
      <c r="AG23" s="24"/>
      <c r="AH23" s="24"/>
      <c r="AI23" s="24"/>
      <c r="AJ23" s="24"/>
      <c r="AK23" s="24"/>
      <c r="AL23" s="24"/>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row>
    <row r="24" spans="1:114" s="34" customFormat="1" ht="15.75" customHeight="1">
      <c r="A24" s="102">
        <f t="shared" si="1"/>
        <v>10</v>
      </c>
      <c r="B24" s="69">
        <f t="shared" si="1"/>
        <v>10</v>
      </c>
      <c r="C24" s="70" t="s">
        <v>499</v>
      </c>
      <c r="D24" s="71" t="s">
        <v>500</v>
      </c>
      <c r="E24" s="70" t="s">
        <v>427</v>
      </c>
      <c r="F24" s="72">
        <v>12000000</v>
      </c>
      <c r="G24" s="73"/>
      <c r="H24" s="74">
        <v>562000000</v>
      </c>
      <c r="I24" s="103"/>
      <c r="J24" s="22">
        <f t="shared" si="0"/>
        <v>12000000</v>
      </c>
      <c r="K24" s="22">
        <f t="shared" si="2"/>
        <v>562000000</v>
      </c>
      <c r="L24" s="23"/>
      <c r="M24" s="23"/>
      <c r="N24" s="23"/>
      <c r="O24" s="23"/>
      <c r="P24" s="23"/>
      <c r="Q24" s="23"/>
      <c r="R24" s="23"/>
      <c r="S24" s="23"/>
      <c r="T24" s="23"/>
      <c r="U24" s="23"/>
      <c r="V24" s="24"/>
      <c r="W24" s="24"/>
      <c r="X24" s="24"/>
      <c r="Y24" s="24"/>
      <c r="Z24" s="24"/>
      <c r="AA24" s="24"/>
      <c r="AB24" s="24"/>
      <c r="AC24" s="24"/>
      <c r="AD24" s="24"/>
      <c r="AE24" s="24"/>
      <c r="AF24" s="24"/>
      <c r="AG24" s="24"/>
      <c r="AH24" s="24"/>
      <c r="AI24" s="24"/>
      <c r="AJ24" s="24"/>
      <c r="AK24" s="24"/>
      <c r="AL24" s="24"/>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row>
    <row r="25" spans="1:114" s="26" customFormat="1" ht="15.75" customHeight="1">
      <c r="A25" s="167" t="s">
        <v>501</v>
      </c>
      <c r="B25" s="168"/>
      <c r="C25" s="168"/>
      <c r="D25" s="168"/>
      <c r="E25" s="18"/>
      <c r="F25" s="19">
        <f>SUM(F15:F24)</f>
        <v>207525678.3</v>
      </c>
      <c r="G25" s="19"/>
      <c r="H25" s="20">
        <f>SUM(H15:H24)</f>
        <v>706000000</v>
      </c>
      <c r="I25" s="21"/>
      <c r="J25" s="22"/>
      <c r="K25" s="33"/>
      <c r="L25" s="23"/>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row>
    <row r="26" spans="1:114" s="34" customFormat="1" ht="15.75" customHeight="1">
      <c r="A26" s="170">
        <v>1993</v>
      </c>
      <c r="B26" s="171"/>
      <c r="C26" s="171"/>
      <c r="D26" s="171"/>
      <c r="E26" s="171"/>
      <c r="F26" s="171"/>
      <c r="G26" s="171"/>
      <c r="H26" s="171"/>
      <c r="I26" s="172"/>
      <c r="J26" s="33"/>
      <c r="K26" s="33"/>
      <c r="L26" s="23"/>
      <c r="M26" s="23"/>
      <c r="N26" s="23"/>
      <c r="O26" s="23"/>
      <c r="P26" s="23"/>
      <c r="Q26" s="23"/>
      <c r="R26" s="23"/>
      <c r="S26" s="23"/>
      <c r="T26" s="23"/>
      <c r="U26" s="23"/>
      <c r="V26" s="24"/>
      <c r="W26" s="24"/>
      <c r="X26" s="24"/>
      <c r="Y26" s="24"/>
      <c r="Z26" s="24"/>
      <c r="AA26" s="24"/>
      <c r="AB26" s="24"/>
      <c r="AC26" s="24"/>
      <c r="AD26" s="24"/>
      <c r="AE26" s="24"/>
      <c r="AF26" s="24"/>
      <c r="AG26" s="24"/>
      <c r="AH26" s="24"/>
      <c r="AI26" s="24"/>
      <c r="AJ26" s="24"/>
      <c r="AK26" s="24"/>
      <c r="AL26" s="24"/>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row>
    <row r="27" spans="1:114" s="34" customFormat="1" ht="15.75" customHeight="1">
      <c r="A27" s="104">
        <f>A24+1</f>
        <v>11</v>
      </c>
      <c r="B27" s="105">
        <v>1</v>
      </c>
      <c r="C27" s="63" t="s">
        <v>502</v>
      </c>
      <c r="D27" s="64" t="s">
        <v>503</v>
      </c>
      <c r="E27" s="63" t="s">
        <v>490</v>
      </c>
      <c r="F27" s="84">
        <v>25414029</v>
      </c>
      <c r="G27" s="85"/>
      <c r="H27" s="65">
        <v>30000000</v>
      </c>
      <c r="I27" s="67"/>
      <c r="J27" s="22">
        <f aca="true" t="shared" si="3" ref="J27:J39">+F27</f>
        <v>25414029</v>
      </c>
      <c r="K27" s="22">
        <f aca="true" t="shared" si="4" ref="K27:K39">+H27</f>
        <v>30000000</v>
      </c>
      <c r="L27" s="23"/>
      <c r="M27" s="23"/>
      <c r="N27" s="23"/>
      <c r="O27" s="23"/>
      <c r="P27" s="23"/>
      <c r="Q27" s="23"/>
      <c r="R27" s="23"/>
      <c r="S27" s="23"/>
      <c r="T27" s="23"/>
      <c r="U27" s="23"/>
      <c r="V27" s="24"/>
      <c r="W27" s="24"/>
      <c r="X27" s="24"/>
      <c r="Y27" s="24"/>
      <c r="Z27" s="24"/>
      <c r="AA27" s="24"/>
      <c r="AB27" s="24"/>
      <c r="AC27" s="24"/>
      <c r="AD27" s="24"/>
      <c r="AE27" s="24"/>
      <c r="AF27" s="24"/>
      <c r="AG27" s="24"/>
      <c r="AH27" s="24"/>
      <c r="AI27" s="24"/>
      <c r="AJ27" s="24"/>
      <c r="AK27" s="24"/>
      <c r="AL27" s="24"/>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row>
    <row r="28" spans="1:114" s="34" customFormat="1" ht="15.75" customHeight="1">
      <c r="A28" s="86">
        <f aca="true" t="shared" si="5" ref="A28:B39">A27+1</f>
        <v>12</v>
      </c>
      <c r="B28" s="106">
        <f t="shared" si="5"/>
        <v>2</v>
      </c>
      <c r="C28" s="88" t="s">
        <v>504</v>
      </c>
      <c r="D28" s="89" t="s">
        <v>505</v>
      </c>
      <c r="E28" s="88" t="s">
        <v>487</v>
      </c>
      <c r="F28" s="90">
        <v>2931313</v>
      </c>
      <c r="G28" s="91"/>
      <c r="H28" s="92"/>
      <c r="I28" s="93"/>
      <c r="J28" s="22">
        <f t="shared" si="3"/>
        <v>2931313</v>
      </c>
      <c r="K28" s="22">
        <f t="shared" si="4"/>
        <v>0</v>
      </c>
      <c r="L28" s="23"/>
      <c r="M28" s="23"/>
      <c r="N28" s="23"/>
      <c r="O28" s="23"/>
      <c r="P28" s="23"/>
      <c r="Q28" s="23"/>
      <c r="R28" s="23"/>
      <c r="S28" s="23"/>
      <c r="T28" s="23"/>
      <c r="U28" s="23"/>
      <c r="V28" s="24"/>
      <c r="W28" s="24"/>
      <c r="X28" s="24"/>
      <c r="Y28" s="24"/>
      <c r="Z28" s="24"/>
      <c r="AA28" s="24"/>
      <c r="AB28" s="24"/>
      <c r="AC28" s="24"/>
      <c r="AD28" s="24"/>
      <c r="AE28" s="24"/>
      <c r="AF28" s="24"/>
      <c r="AG28" s="24"/>
      <c r="AH28" s="24"/>
      <c r="AI28" s="24"/>
      <c r="AJ28" s="24"/>
      <c r="AK28" s="24"/>
      <c r="AL28" s="24"/>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row>
    <row r="29" spans="1:114" s="34" customFormat="1" ht="15.75" customHeight="1">
      <c r="A29" s="86">
        <f t="shared" si="5"/>
        <v>13</v>
      </c>
      <c r="B29" s="106">
        <f t="shared" si="5"/>
        <v>3</v>
      </c>
      <c r="C29" s="88" t="s">
        <v>506</v>
      </c>
      <c r="D29" s="89" t="s">
        <v>583</v>
      </c>
      <c r="E29" s="88" t="s">
        <v>424</v>
      </c>
      <c r="F29" s="90">
        <v>200000000</v>
      </c>
      <c r="G29" s="91"/>
      <c r="H29" s="92">
        <v>65000000</v>
      </c>
      <c r="I29" s="93"/>
      <c r="J29" s="22">
        <f t="shared" si="3"/>
        <v>200000000</v>
      </c>
      <c r="K29" s="22">
        <f t="shared" si="4"/>
        <v>65000000</v>
      </c>
      <c r="L29" s="23"/>
      <c r="M29" s="23"/>
      <c r="N29" s="23"/>
      <c r="O29" s="23"/>
      <c r="P29" s="23"/>
      <c r="Q29" s="23"/>
      <c r="R29" s="23"/>
      <c r="S29" s="23"/>
      <c r="T29" s="23"/>
      <c r="U29" s="23"/>
      <c r="V29" s="24"/>
      <c r="W29" s="24"/>
      <c r="X29" s="24"/>
      <c r="Y29" s="24"/>
      <c r="Z29" s="24"/>
      <c r="AA29" s="24"/>
      <c r="AB29" s="24"/>
      <c r="AC29" s="24"/>
      <c r="AD29" s="24"/>
      <c r="AE29" s="24"/>
      <c r="AF29" s="24"/>
      <c r="AG29" s="24"/>
      <c r="AH29" s="24"/>
      <c r="AI29" s="24"/>
      <c r="AJ29" s="24"/>
      <c r="AK29" s="24"/>
      <c r="AL29" s="24"/>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row>
    <row r="30" spans="1:114" s="34" customFormat="1" ht="15.75" customHeight="1">
      <c r="A30" s="86">
        <f t="shared" si="5"/>
        <v>14</v>
      </c>
      <c r="B30" s="106">
        <f t="shared" si="5"/>
        <v>4</v>
      </c>
      <c r="C30" s="88" t="s">
        <v>507</v>
      </c>
      <c r="D30" s="89" t="s">
        <v>508</v>
      </c>
      <c r="E30" s="88" t="s">
        <v>509</v>
      </c>
      <c r="F30" s="90">
        <v>1002000</v>
      </c>
      <c r="G30" s="91"/>
      <c r="H30" s="92"/>
      <c r="I30" s="93"/>
      <c r="J30" s="22">
        <f t="shared" si="3"/>
        <v>1002000</v>
      </c>
      <c r="K30" s="22">
        <f t="shared" si="4"/>
        <v>0</v>
      </c>
      <c r="L30" s="23"/>
      <c r="M30" s="23"/>
      <c r="N30" s="23"/>
      <c r="O30" s="23"/>
      <c r="P30" s="23"/>
      <c r="Q30" s="23"/>
      <c r="R30" s="23"/>
      <c r="S30" s="23"/>
      <c r="T30" s="23"/>
      <c r="U30" s="23"/>
      <c r="V30" s="24"/>
      <c r="W30" s="24"/>
      <c r="X30" s="24"/>
      <c r="Y30" s="24"/>
      <c r="Z30" s="24"/>
      <c r="AA30" s="24"/>
      <c r="AB30" s="24"/>
      <c r="AC30" s="24"/>
      <c r="AD30" s="24"/>
      <c r="AE30" s="24"/>
      <c r="AF30" s="24"/>
      <c r="AG30" s="24"/>
      <c r="AH30" s="24"/>
      <c r="AI30" s="24"/>
      <c r="AJ30" s="24"/>
      <c r="AK30" s="24"/>
      <c r="AL30" s="24"/>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row>
    <row r="31" spans="1:114" s="34" customFormat="1" ht="15.75" customHeight="1">
      <c r="A31" s="86">
        <f t="shared" si="5"/>
        <v>15</v>
      </c>
      <c r="B31" s="106">
        <f t="shared" si="5"/>
        <v>5</v>
      </c>
      <c r="C31" s="88" t="s">
        <v>510</v>
      </c>
      <c r="D31" s="89" t="s">
        <v>511</v>
      </c>
      <c r="E31" s="88" t="s">
        <v>512</v>
      </c>
      <c r="F31" s="90">
        <v>14663059</v>
      </c>
      <c r="G31" s="91"/>
      <c r="H31" s="92"/>
      <c r="I31" s="93"/>
      <c r="J31" s="22">
        <f t="shared" si="3"/>
        <v>14663059</v>
      </c>
      <c r="K31" s="22">
        <f t="shared" si="4"/>
        <v>0</v>
      </c>
      <c r="L31" s="23"/>
      <c r="M31" s="23"/>
      <c r="N31" s="23"/>
      <c r="O31" s="23"/>
      <c r="P31" s="23"/>
      <c r="Q31" s="23"/>
      <c r="R31" s="23"/>
      <c r="S31" s="23"/>
      <c r="T31" s="23"/>
      <c r="U31" s="23"/>
      <c r="V31" s="24"/>
      <c r="W31" s="24"/>
      <c r="X31" s="24"/>
      <c r="Y31" s="24"/>
      <c r="Z31" s="24"/>
      <c r="AA31" s="24"/>
      <c r="AB31" s="24"/>
      <c r="AC31" s="24"/>
      <c r="AD31" s="24"/>
      <c r="AE31" s="24"/>
      <c r="AF31" s="24"/>
      <c r="AG31" s="24"/>
      <c r="AH31" s="24"/>
      <c r="AI31" s="24"/>
      <c r="AJ31" s="24"/>
      <c r="AK31" s="24"/>
      <c r="AL31" s="24"/>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row>
    <row r="32" spans="1:114" s="34" customFormat="1" ht="15.75" customHeight="1">
      <c r="A32" s="86">
        <f t="shared" si="5"/>
        <v>16</v>
      </c>
      <c r="B32" s="106">
        <f t="shared" si="5"/>
        <v>6</v>
      </c>
      <c r="C32" s="88" t="s">
        <v>513</v>
      </c>
      <c r="D32" s="89" t="s">
        <v>514</v>
      </c>
      <c r="E32" s="88" t="s">
        <v>490</v>
      </c>
      <c r="F32" s="90">
        <v>248775</v>
      </c>
      <c r="G32" s="91"/>
      <c r="H32" s="92"/>
      <c r="I32" s="93"/>
      <c r="J32" s="22">
        <f t="shared" si="3"/>
        <v>248775</v>
      </c>
      <c r="K32" s="22">
        <f t="shared" si="4"/>
        <v>0</v>
      </c>
      <c r="L32" s="23"/>
      <c r="M32" s="23"/>
      <c r="N32" s="23"/>
      <c r="O32" s="23"/>
      <c r="P32" s="23"/>
      <c r="Q32" s="23"/>
      <c r="R32" s="23"/>
      <c r="S32" s="23"/>
      <c r="T32" s="23"/>
      <c r="U32" s="23"/>
      <c r="V32" s="24"/>
      <c r="W32" s="24"/>
      <c r="X32" s="24"/>
      <c r="Y32" s="24"/>
      <c r="Z32" s="24"/>
      <c r="AA32" s="24"/>
      <c r="AB32" s="24"/>
      <c r="AC32" s="24"/>
      <c r="AD32" s="24"/>
      <c r="AE32" s="24"/>
      <c r="AF32" s="24"/>
      <c r="AG32" s="24"/>
      <c r="AH32" s="24"/>
      <c r="AI32" s="24"/>
      <c r="AJ32" s="24"/>
      <c r="AK32" s="24"/>
      <c r="AL32" s="24"/>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row>
    <row r="33" spans="1:114" s="34" customFormat="1" ht="15.75" customHeight="1">
      <c r="A33" s="86">
        <f t="shared" si="5"/>
        <v>17</v>
      </c>
      <c r="B33" s="106">
        <f t="shared" si="5"/>
        <v>7</v>
      </c>
      <c r="C33" s="88" t="s">
        <v>515</v>
      </c>
      <c r="D33" s="89" t="s">
        <v>516</v>
      </c>
      <c r="E33" s="88" t="s">
        <v>490</v>
      </c>
      <c r="F33" s="90">
        <v>225498</v>
      </c>
      <c r="G33" s="91"/>
      <c r="H33" s="92"/>
      <c r="I33" s="93"/>
      <c r="J33" s="22">
        <f t="shared" si="3"/>
        <v>225498</v>
      </c>
      <c r="K33" s="22">
        <f t="shared" si="4"/>
        <v>0</v>
      </c>
      <c r="L33" s="23"/>
      <c r="M33" s="23"/>
      <c r="N33" s="23"/>
      <c r="O33" s="23"/>
      <c r="P33" s="23"/>
      <c r="Q33" s="23"/>
      <c r="R33" s="23"/>
      <c r="S33" s="23"/>
      <c r="T33" s="23"/>
      <c r="U33" s="23"/>
      <c r="V33" s="24"/>
      <c r="W33" s="24"/>
      <c r="X33" s="24"/>
      <c r="Y33" s="24"/>
      <c r="Z33" s="24"/>
      <c r="AA33" s="24"/>
      <c r="AB33" s="24"/>
      <c r="AC33" s="24"/>
      <c r="AD33" s="24"/>
      <c r="AE33" s="24"/>
      <c r="AF33" s="24"/>
      <c r="AG33" s="24"/>
      <c r="AH33" s="24"/>
      <c r="AI33" s="24"/>
      <c r="AJ33" s="24"/>
      <c r="AK33" s="24"/>
      <c r="AL33" s="24"/>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row>
    <row r="34" spans="1:114" s="34" customFormat="1" ht="15.75" customHeight="1">
      <c r="A34" s="86">
        <f t="shared" si="5"/>
        <v>18</v>
      </c>
      <c r="B34" s="106">
        <f t="shared" si="5"/>
        <v>8</v>
      </c>
      <c r="C34" s="88" t="s">
        <v>517</v>
      </c>
      <c r="D34" s="89" t="s">
        <v>518</v>
      </c>
      <c r="E34" s="88" t="s">
        <v>472</v>
      </c>
      <c r="F34" s="90">
        <v>6150000</v>
      </c>
      <c r="G34" s="91"/>
      <c r="H34" s="92"/>
      <c r="I34" s="93"/>
      <c r="J34" s="22">
        <f t="shared" si="3"/>
        <v>6150000</v>
      </c>
      <c r="K34" s="22">
        <f t="shared" si="4"/>
        <v>0</v>
      </c>
      <c r="L34" s="23"/>
      <c r="M34" s="23"/>
      <c r="N34" s="23"/>
      <c r="O34" s="23"/>
      <c r="P34" s="23"/>
      <c r="Q34" s="23"/>
      <c r="R34" s="23"/>
      <c r="S34" s="23"/>
      <c r="T34" s="23"/>
      <c r="U34" s="23"/>
      <c r="V34" s="24"/>
      <c r="W34" s="24"/>
      <c r="X34" s="24"/>
      <c r="Y34" s="24"/>
      <c r="Z34" s="24"/>
      <c r="AA34" s="24"/>
      <c r="AB34" s="24"/>
      <c r="AC34" s="24"/>
      <c r="AD34" s="24"/>
      <c r="AE34" s="24"/>
      <c r="AF34" s="24"/>
      <c r="AG34" s="24"/>
      <c r="AH34" s="24"/>
      <c r="AI34" s="24"/>
      <c r="AJ34" s="24"/>
      <c r="AK34" s="24"/>
      <c r="AL34" s="24"/>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row>
    <row r="35" spans="1:114" s="34" customFormat="1" ht="15.75" customHeight="1">
      <c r="A35" s="86">
        <f t="shared" si="5"/>
        <v>19</v>
      </c>
      <c r="B35" s="106">
        <f t="shared" si="5"/>
        <v>9</v>
      </c>
      <c r="C35" s="88" t="s">
        <v>519</v>
      </c>
      <c r="D35" s="89" t="s">
        <v>520</v>
      </c>
      <c r="E35" s="88" t="s">
        <v>490</v>
      </c>
      <c r="F35" s="90">
        <v>25246250</v>
      </c>
      <c r="G35" s="91"/>
      <c r="H35" s="92"/>
      <c r="I35" s="93"/>
      <c r="J35" s="22">
        <f t="shared" si="3"/>
        <v>25246250</v>
      </c>
      <c r="K35" s="22">
        <f t="shared" si="4"/>
        <v>0</v>
      </c>
      <c r="L35" s="23"/>
      <c r="M35" s="23"/>
      <c r="N35" s="23"/>
      <c r="O35" s="23"/>
      <c r="P35" s="23"/>
      <c r="Q35" s="23"/>
      <c r="R35" s="23"/>
      <c r="S35" s="23"/>
      <c r="T35" s="23"/>
      <c r="U35" s="23"/>
      <c r="V35" s="24"/>
      <c r="W35" s="24"/>
      <c r="X35" s="24"/>
      <c r="Y35" s="24"/>
      <c r="Z35" s="24"/>
      <c r="AA35" s="24"/>
      <c r="AB35" s="24"/>
      <c r="AC35" s="24"/>
      <c r="AD35" s="24"/>
      <c r="AE35" s="24"/>
      <c r="AF35" s="24"/>
      <c r="AG35" s="24"/>
      <c r="AH35" s="24"/>
      <c r="AI35" s="24"/>
      <c r="AJ35" s="24"/>
      <c r="AK35" s="24"/>
      <c r="AL35" s="24"/>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row>
    <row r="36" spans="1:114" s="34" customFormat="1" ht="15.75" customHeight="1">
      <c r="A36" s="86">
        <f t="shared" si="5"/>
        <v>20</v>
      </c>
      <c r="B36" s="106">
        <f t="shared" si="5"/>
        <v>10</v>
      </c>
      <c r="C36" s="88" t="s">
        <v>521</v>
      </c>
      <c r="D36" s="89" t="s">
        <v>584</v>
      </c>
      <c r="E36" s="88" t="s">
        <v>427</v>
      </c>
      <c r="F36" s="90">
        <v>35446690</v>
      </c>
      <c r="G36" s="91"/>
      <c r="H36" s="92">
        <v>485300000</v>
      </c>
      <c r="I36" s="101" t="s">
        <v>498</v>
      </c>
      <c r="J36" s="22">
        <f t="shared" si="3"/>
        <v>35446690</v>
      </c>
      <c r="K36" s="22">
        <f t="shared" si="4"/>
        <v>485300000</v>
      </c>
      <c r="L36" s="23"/>
      <c r="M36" s="23"/>
      <c r="N36" s="23"/>
      <c r="O36" s="23"/>
      <c r="P36" s="23"/>
      <c r="Q36" s="23"/>
      <c r="R36" s="23"/>
      <c r="S36" s="23"/>
      <c r="T36" s="23"/>
      <c r="U36" s="23"/>
      <c r="V36" s="24"/>
      <c r="W36" s="24"/>
      <c r="X36" s="24"/>
      <c r="Y36" s="24"/>
      <c r="Z36" s="24"/>
      <c r="AA36" s="24"/>
      <c r="AB36" s="24"/>
      <c r="AC36" s="24"/>
      <c r="AD36" s="24"/>
      <c r="AE36" s="24"/>
      <c r="AF36" s="24"/>
      <c r="AG36" s="24"/>
      <c r="AH36" s="24"/>
      <c r="AI36" s="24"/>
      <c r="AJ36" s="24"/>
      <c r="AK36" s="24"/>
      <c r="AL36" s="24"/>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row>
    <row r="37" spans="1:114" s="34" customFormat="1" ht="15.75" customHeight="1">
      <c r="A37" s="86">
        <f t="shared" si="5"/>
        <v>21</v>
      </c>
      <c r="B37" s="106">
        <f t="shared" si="5"/>
        <v>11</v>
      </c>
      <c r="C37" s="88" t="s">
        <v>522</v>
      </c>
      <c r="D37" s="89" t="s">
        <v>523</v>
      </c>
      <c r="E37" s="88" t="s">
        <v>426</v>
      </c>
      <c r="F37" s="90">
        <v>1900000</v>
      </c>
      <c r="G37" s="91"/>
      <c r="H37" s="92"/>
      <c r="I37" s="93"/>
      <c r="J37" s="22">
        <f t="shared" si="3"/>
        <v>1900000</v>
      </c>
      <c r="K37" s="22">
        <f t="shared" si="4"/>
        <v>0</v>
      </c>
      <c r="L37" s="23"/>
      <c r="M37" s="23"/>
      <c r="N37" s="23"/>
      <c r="O37" s="23"/>
      <c r="P37" s="23"/>
      <c r="Q37" s="23"/>
      <c r="R37" s="23"/>
      <c r="S37" s="23"/>
      <c r="T37" s="23"/>
      <c r="U37" s="23"/>
      <c r="V37" s="24"/>
      <c r="W37" s="24"/>
      <c r="X37" s="24"/>
      <c r="Y37" s="24"/>
      <c r="Z37" s="24"/>
      <c r="AA37" s="24"/>
      <c r="AB37" s="24"/>
      <c r="AC37" s="24"/>
      <c r="AD37" s="24"/>
      <c r="AE37" s="24"/>
      <c r="AF37" s="24"/>
      <c r="AG37" s="24"/>
      <c r="AH37" s="24"/>
      <c r="AI37" s="24"/>
      <c r="AJ37" s="24"/>
      <c r="AK37" s="24"/>
      <c r="AL37" s="24"/>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row>
    <row r="38" spans="1:114" s="34" customFormat="1" ht="15.75" customHeight="1">
      <c r="A38" s="86">
        <f t="shared" si="5"/>
        <v>22</v>
      </c>
      <c r="B38" s="106">
        <f t="shared" si="5"/>
        <v>12</v>
      </c>
      <c r="C38" s="88" t="s">
        <v>524</v>
      </c>
      <c r="D38" s="89" t="s">
        <v>525</v>
      </c>
      <c r="E38" s="88" t="s">
        <v>426</v>
      </c>
      <c r="F38" s="90">
        <v>2700000</v>
      </c>
      <c r="G38" s="91"/>
      <c r="H38" s="92">
        <v>3500000</v>
      </c>
      <c r="I38" s="93"/>
      <c r="J38" s="22">
        <f t="shared" si="3"/>
        <v>2700000</v>
      </c>
      <c r="K38" s="22">
        <f t="shared" si="4"/>
        <v>3500000</v>
      </c>
      <c r="L38" s="23"/>
      <c r="M38" s="23"/>
      <c r="N38" s="23"/>
      <c r="O38" s="23"/>
      <c r="P38" s="23"/>
      <c r="Q38" s="23"/>
      <c r="R38" s="23"/>
      <c r="S38" s="23"/>
      <c r="T38" s="23"/>
      <c r="U38" s="23"/>
      <c r="V38" s="24"/>
      <c r="W38" s="24"/>
      <c r="X38" s="24"/>
      <c r="Y38" s="24"/>
      <c r="Z38" s="24"/>
      <c r="AA38" s="24"/>
      <c r="AB38" s="24"/>
      <c r="AC38" s="24"/>
      <c r="AD38" s="24"/>
      <c r="AE38" s="24"/>
      <c r="AF38" s="24"/>
      <c r="AG38" s="24"/>
      <c r="AH38" s="24"/>
      <c r="AI38" s="24"/>
      <c r="AJ38" s="24"/>
      <c r="AK38" s="24"/>
      <c r="AL38" s="24"/>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row>
    <row r="39" spans="1:114" s="34" customFormat="1" ht="15.75" customHeight="1">
      <c r="A39" s="107">
        <f t="shared" si="5"/>
        <v>23</v>
      </c>
      <c r="B39" s="108">
        <f t="shared" si="5"/>
        <v>13</v>
      </c>
      <c r="C39" s="70" t="s">
        <v>526</v>
      </c>
      <c r="D39" s="71" t="s">
        <v>527</v>
      </c>
      <c r="E39" s="70" t="s">
        <v>528</v>
      </c>
      <c r="F39" s="72">
        <v>777000</v>
      </c>
      <c r="G39" s="73"/>
      <c r="H39" s="74"/>
      <c r="I39" s="75"/>
      <c r="J39" s="22">
        <f t="shared" si="3"/>
        <v>777000</v>
      </c>
      <c r="K39" s="22">
        <f t="shared" si="4"/>
        <v>0</v>
      </c>
      <c r="L39" s="23"/>
      <c r="M39" s="23"/>
      <c r="N39" s="23"/>
      <c r="O39" s="23"/>
      <c r="P39" s="23"/>
      <c r="Q39" s="23"/>
      <c r="R39" s="23"/>
      <c r="S39" s="23"/>
      <c r="T39" s="23"/>
      <c r="U39" s="23"/>
      <c r="V39" s="24"/>
      <c r="W39" s="24"/>
      <c r="X39" s="24"/>
      <c r="Y39" s="24"/>
      <c r="Z39" s="24"/>
      <c r="AA39" s="24"/>
      <c r="AB39" s="24"/>
      <c r="AC39" s="24"/>
      <c r="AD39" s="24"/>
      <c r="AE39" s="24"/>
      <c r="AF39" s="24"/>
      <c r="AG39" s="24"/>
      <c r="AH39" s="24"/>
      <c r="AI39" s="24"/>
      <c r="AJ39" s="24"/>
      <c r="AK39" s="24"/>
      <c r="AL39" s="24"/>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row>
    <row r="40" spans="1:114" s="26" customFormat="1" ht="15.75" customHeight="1">
      <c r="A40" s="167" t="s">
        <v>529</v>
      </c>
      <c r="B40" s="168"/>
      <c r="C40" s="168"/>
      <c r="D40" s="168"/>
      <c r="E40" s="18"/>
      <c r="F40" s="19">
        <f>SUM(F27:F39)</f>
        <v>316704614</v>
      </c>
      <c r="G40" s="19"/>
      <c r="H40" s="20">
        <f>SUM(H27:H39)</f>
        <v>583800000</v>
      </c>
      <c r="I40" s="21"/>
      <c r="J40" s="22"/>
      <c r="K40" s="33"/>
      <c r="L40" s="23"/>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row>
    <row r="41" spans="1:114" s="34" customFormat="1" ht="15.75" customHeight="1">
      <c r="A41" s="170">
        <v>1994</v>
      </c>
      <c r="B41" s="171"/>
      <c r="C41" s="171"/>
      <c r="D41" s="171"/>
      <c r="E41" s="171"/>
      <c r="F41" s="171"/>
      <c r="G41" s="171"/>
      <c r="H41" s="171"/>
      <c r="I41" s="172"/>
      <c r="J41" s="22">
        <f aca="true" t="shared" si="6" ref="J41:J64">+F41</f>
        <v>0</v>
      </c>
      <c r="K41" s="22">
        <f aca="true" t="shared" si="7" ref="K41:K64">+H41</f>
        <v>0</v>
      </c>
      <c r="L41" s="23"/>
      <c r="M41" s="23"/>
      <c r="N41" s="23"/>
      <c r="O41" s="23"/>
      <c r="P41" s="23"/>
      <c r="Q41" s="23"/>
      <c r="R41" s="23"/>
      <c r="S41" s="23"/>
      <c r="T41" s="23"/>
      <c r="U41" s="23"/>
      <c r="V41" s="24"/>
      <c r="W41" s="24"/>
      <c r="X41" s="24"/>
      <c r="Y41" s="24"/>
      <c r="Z41" s="24"/>
      <c r="AA41" s="24"/>
      <c r="AB41" s="24"/>
      <c r="AC41" s="24"/>
      <c r="AD41" s="24"/>
      <c r="AE41" s="24"/>
      <c r="AF41" s="24"/>
      <c r="AG41" s="24"/>
      <c r="AH41" s="24"/>
      <c r="AI41" s="24"/>
      <c r="AJ41" s="24"/>
      <c r="AK41" s="24"/>
      <c r="AL41" s="24"/>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row>
    <row r="42" spans="1:114" s="34" customFormat="1" ht="15.75" customHeight="1">
      <c r="A42" s="61">
        <f>A39+1</f>
        <v>24</v>
      </c>
      <c r="B42" s="62">
        <v>1</v>
      </c>
      <c r="C42" s="63" t="s">
        <v>530</v>
      </c>
      <c r="D42" s="64" t="s">
        <v>531</v>
      </c>
      <c r="E42" s="63" t="s">
        <v>426</v>
      </c>
      <c r="F42" s="84">
        <v>6500000</v>
      </c>
      <c r="G42" s="85"/>
      <c r="H42" s="65">
        <v>2000000</v>
      </c>
      <c r="I42" s="67"/>
      <c r="J42" s="22">
        <f t="shared" si="6"/>
        <v>6500000</v>
      </c>
      <c r="K42" s="22">
        <f t="shared" si="7"/>
        <v>2000000</v>
      </c>
      <c r="L42" s="23"/>
      <c r="M42" s="23"/>
      <c r="N42" s="23"/>
      <c r="O42" s="23"/>
      <c r="P42" s="23"/>
      <c r="Q42" s="23"/>
      <c r="R42" s="23"/>
      <c r="S42" s="23"/>
      <c r="T42" s="23"/>
      <c r="U42" s="23"/>
      <c r="V42" s="24"/>
      <c r="W42" s="24"/>
      <c r="X42" s="24"/>
      <c r="Y42" s="24"/>
      <c r="Z42" s="24"/>
      <c r="AA42" s="24"/>
      <c r="AB42" s="24"/>
      <c r="AC42" s="24"/>
      <c r="AD42" s="24"/>
      <c r="AE42" s="24"/>
      <c r="AF42" s="24"/>
      <c r="AG42" s="24"/>
      <c r="AH42" s="24"/>
      <c r="AI42" s="24"/>
      <c r="AJ42" s="24"/>
      <c r="AK42" s="24"/>
      <c r="AL42" s="24"/>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row>
    <row r="43" spans="1:114" s="34" customFormat="1" ht="15.75" customHeight="1">
      <c r="A43" s="109">
        <f aca="true" t="shared" si="8" ref="A43:B58">A42+1</f>
        <v>25</v>
      </c>
      <c r="B43" s="87">
        <f t="shared" si="8"/>
        <v>2</v>
      </c>
      <c r="C43" s="88" t="s">
        <v>532</v>
      </c>
      <c r="D43" s="89" t="s">
        <v>533</v>
      </c>
      <c r="E43" s="88" t="s">
        <v>426</v>
      </c>
      <c r="F43" s="90">
        <v>67100121</v>
      </c>
      <c r="G43" s="91"/>
      <c r="H43" s="92">
        <v>5000000</v>
      </c>
      <c r="I43" s="93"/>
      <c r="J43" s="22">
        <f t="shared" si="6"/>
        <v>67100121</v>
      </c>
      <c r="K43" s="22">
        <f t="shared" si="7"/>
        <v>5000000</v>
      </c>
      <c r="L43" s="23"/>
      <c r="M43" s="23"/>
      <c r="N43" s="23"/>
      <c r="O43" s="23"/>
      <c r="P43" s="23"/>
      <c r="Q43" s="23"/>
      <c r="R43" s="23"/>
      <c r="S43" s="23"/>
      <c r="T43" s="23"/>
      <c r="U43" s="23"/>
      <c r="V43" s="24"/>
      <c r="W43" s="24"/>
      <c r="X43" s="24"/>
      <c r="Y43" s="24"/>
      <c r="Z43" s="24"/>
      <c r="AA43" s="24"/>
      <c r="AB43" s="24"/>
      <c r="AC43" s="24"/>
      <c r="AD43" s="24"/>
      <c r="AE43" s="24"/>
      <c r="AF43" s="24"/>
      <c r="AG43" s="24"/>
      <c r="AH43" s="24"/>
      <c r="AI43" s="24"/>
      <c r="AJ43" s="24"/>
      <c r="AK43" s="24"/>
      <c r="AL43" s="24"/>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row>
    <row r="44" spans="1:114" s="34" customFormat="1" ht="15.75" customHeight="1">
      <c r="A44" s="109">
        <f t="shared" si="8"/>
        <v>26</v>
      </c>
      <c r="B44" s="87">
        <f t="shared" si="8"/>
        <v>3</v>
      </c>
      <c r="C44" s="88" t="s">
        <v>534</v>
      </c>
      <c r="D44" s="89" t="s">
        <v>535</v>
      </c>
      <c r="E44" s="88" t="s">
        <v>425</v>
      </c>
      <c r="F44" s="90">
        <v>1601016</v>
      </c>
      <c r="G44" s="91"/>
      <c r="H44" s="92"/>
      <c r="I44" s="93"/>
      <c r="J44" s="22">
        <f t="shared" si="6"/>
        <v>1601016</v>
      </c>
      <c r="K44" s="22">
        <f t="shared" si="7"/>
        <v>0</v>
      </c>
      <c r="L44" s="23"/>
      <c r="M44" s="23"/>
      <c r="N44" s="23"/>
      <c r="O44" s="23"/>
      <c r="P44" s="23"/>
      <c r="Q44" s="23"/>
      <c r="R44" s="23"/>
      <c r="S44" s="23"/>
      <c r="T44" s="23"/>
      <c r="U44" s="23"/>
      <c r="V44" s="24"/>
      <c r="W44" s="24"/>
      <c r="X44" s="24"/>
      <c r="Y44" s="24"/>
      <c r="Z44" s="24"/>
      <c r="AA44" s="24"/>
      <c r="AB44" s="24"/>
      <c r="AC44" s="24"/>
      <c r="AD44" s="24"/>
      <c r="AE44" s="24"/>
      <c r="AF44" s="24"/>
      <c r="AG44" s="24"/>
      <c r="AH44" s="24"/>
      <c r="AI44" s="24"/>
      <c r="AJ44" s="24"/>
      <c r="AK44" s="24"/>
      <c r="AL44" s="24"/>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row>
    <row r="45" spans="1:114" s="34" customFormat="1" ht="15.75" customHeight="1">
      <c r="A45" s="109">
        <f t="shared" si="8"/>
        <v>27</v>
      </c>
      <c r="B45" s="87">
        <f t="shared" si="8"/>
        <v>4</v>
      </c>
      <c r="C45" s="88" t="s">
        <v>536</v>
      </c>
      <c r="D45" s="89" t="s">
        <v>537</v>
      </c>
      <c r="E45" s="88" t="s">
        <v>538</v>
      </c>
      <c r="F45" s="90">
        <v>1391426909</v>
      </c>
      <c r="G45" s="91"/>
      <c r="H45" s="92">
        <f>2176000000-610752289</f>
        <v>1565247711</v>
      </c>
      <c r="I45" s="101" t="s">
        <v>539</v>
      </c>
      <c r="J45" s="22">
        <f t="shared" si="6"/>
        <v>1391426909</v>
      </c>
      <c r="K45" s="22">
        <f t="shared" si="7"/>
        <v>1565247711</v>
      </c>
      <c r="L45" s="23"/>
      <c r="M45" s="23"/>
      <c r="N45" s="23"/>
      <c r="O45" s="23"/>
      <c r="P45" s="23"/>
      <c r="Q45" s="23"/>
      <c r="R45" s="23"/>
      <c r="S45" s="23"/>
      <c r="T45" s="23"/>
      <c r="U45" s="23"/>
      <c r="V45" s="24"/>
      <c r="W45" s="24"/>
      <c r="X45" s="24"/>
      <c r="Y45" s="24"/>
      <c r="Z45" s="24"/>
      <c r="AA45" s="24"/>
      <c r="AB45" s="24"/>
      <c r="AC45" s="24"/>
      <c r="AD45" s="24"/>
      <c r="AE45" s="24"/>
      <c r="AF45" s="24"/>
      <c r="AG45" s="24"/>
      <c r="AH45" s="24"/>
      <c r="AI45" s="24"/>
      <c r="AJ45" s="24"/>
      <c r="AK45" s="24"/>
      <c r="AL45" s="24"/>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row>
    <row r="46" spans="1:114" s="34" customFormat="1" ht="15.75" customHeight="1">
      <c r="A46" s="109">
        <f t="shared" si="8"/>
        <v>28</v>
      </c>
      <c r="B46" s="87">
        <f t="shared" si="8"/>
        <v>5</v>
      </c>
      <c r="C46" s="88" t="s">
        <v>540</v>
      </c>
      <c r="D46" s="89" t="s">
        <v>0</v>
      </c>
      <c r="E46" s="88" t="s">
        <v>426</v>
      </c>
      <c r="F46" s="90">
        <v>1254764</v>
      </c>
      <c r="G46" s="91"/>
      <c r="H46" s="92"/>
      <c r="I46" s="93"/>
      <c r="J46" s="22">
        <f t="shared" si="6"/>
        <v>1254764</v>
      </c>
      <c r="K46" s="22">
        <f t="shared" si="7"/>
        <v>0</v>
      </c>
      <c r="L46" s="23"/>
      <c r="M46" s="23"/>
      <c r="N46" s="23"/>
      <c r="O46" s="23"/>
      <c r="P46" s="23"/>
      <c r="Q46" s="23"/>
      <c r="R46" s="23"/>
      <c r="S46" s="23"/>
      <c r="T46" s="23"/>
      <c r="U46" s="23"/>
      <c r="V46" s="24"/>
      <c r="W46" s="24"/>
      <c r="X46" s="24"/>
      <c r="Y46" s="24"/>
      <c r="Z46" s="24"/>
      <c r="AA46" s="24"/>
      <c r="AB46" s="24"/>
      <c r="AC46" s="24"/>
      <c r="AD46" s="24"/>
      <c r="AE46" s="24"/>
      <c r="AF46" s="24"/>
      <c r="AG46" s="24"/>
      <c r="AH46" s="24"/>
      <c r="AI46" s="24"/>
      <c r="AJ46" s="24"/>
      <c r="AK46" s="24"/>
      <c r="AL46" s="24"/>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row>
    <row r="47" spans="1:114" s="34" customFormat="1" ht="15.75" customHeight="1">
      <c r="A47" s="109">
        <f t="shared" si="8"/>
        <v>29</v>
      </c>
      <c r="B47" s="87">
        <f t="shared" si="8"/>
        <v>6</v>
      </c>
      <c r="C47" s="110" t="s">
        <v>1</v>
      </c>
      <c r="D47" s="89" t="s">
        <v>2</v>
      </c>
      <c r="E47" s="88" t="s">
        <v>3</v>
      </c>
      <c r="F47" s="90">
        <v>2498373</v>
      </c>
      <c r="G47" s="91"/>
      <c r="H47" s="92"/>
      <c r="I47" s="93"/>
      <c r="J47" s="22">
        <f t="shared" si="6"/>
        <v>2498373</v>
      </c>
      <c r="K47" s="22">
        <f t="shared" si="7"/>
        <v>0</v>
      </c>
      <c r="L47" s="23"/>
      <c r="M47" s="23"/>
      <c r="N47" s="23"/>
      <c r="O47" s="23"/>
      <c r="P47" s="23"/>
      <c r="Q47" s="23"/>
      <c r="R47" s="23"/>
      <c r="S47" s="23"/>
      <c r="T47" s="23"/>
      <c r="U47" s="23"/>
      <c r="V47" s="24"/>
      <c r="W47" s="24"/>
      <c r="X47" s="24"/>
      <c r="Y47" s="24"/>
      <c r="Z47" s="24"/>
      <c r="AA47" s="24"/>
      <c r="AB47" s="24"/>
      <c r="AC47" s="24"/>
      <c r="AD47" s="24"/>
      <c r="AE47" s="24"/>
      <c r="AF47" s="24"/>
      <c r="AG47" s="24"/>
      <c r="AH47" s="24"/>
      <c r="AI47" s="24"/>
      <c r="AJ47" s="24"/>
      <c r="AK47" s="24"/>
      <c r="AL47" s="24"/>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row>
    <row r="48" spans="1:114" s="34" customFormat="1" ht="15.75" customHeight="1">
      <c r="A48" s="109">
        <f t="shared" si="8"/>
        <v>30</v>
      </c>
      <c r="B48" s="87">
        <f t="shared" si="8"/>
        <v>7</v>
      </c>
      <c r="C48" s="88" t="s">
        <v>4</v>
      </c>
      <c r="D48" s="89" t="s">
        <v>5</v>
      </c>
      <c r="E48" s="88" t="s">
        <v>427</v>
      </c>
      <c r="F48" s="90">
        <v>66626249</v>
      </c>
      <c r="G48" s="91"/>
      <c r="H48" s="92">
        <v>20200000</v>
      </c>
      <c r="I48" s="101" t="s">
        <v>498</v>
      </c>
      <c r="J48" s="22">
        <f t="shared" si="6"/>
        <v>66626249</v>
      </c>
      <c r="K48" s="22">
        <f t="shared" si="7"/>
        <v>20200000</v>
      </c>
      <c r="L48" s="23"/>
      <c r="M48" s="23"/>
      <c r="N48" s="23"/>
      <c r="O48" s="23"/>
      <c r="P48" s="23"/>
      <c r="Q48" s="23"/>
      <c r="R48" s="23"/>
      <c r="S48" s="23"/>
      <c r="T48" s="23"/>
      <c r="U48" s="23"/>
      <c r="V48" s="24"/>
      <c r="W48" s="24"/>
      <c r="X48" s="24"/>
      <c r="Y48" s="24"/>
      <c r="Z48" s="24"/>
      <c r="AA48" s="24"/>
      <c r="AB48" s="24"/>
      <c r="AC48" s="24"/>
      <c r="AD48" s="24"/>
      <c r="AE48" s="24"/>
      <c r="AF48" s="24"/>
      <c r="AG48" s="24"/>
      <c r="AH48" s="24"/>
      <c r="AI48" s="24"/>
      <c r="AJ48" s="24"/>
      <c r="AK48" s="24"/>
      <c r="AL48" s="24"/>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row>
    <row r="49" spans="1:114" s="34" customFormat="1" ht="15.75" customHeight="1">
      <c r="A49" s="109">
        <f t="shared" si="8"/>
        <v>31</v>
      </c>
      <c r="B49" s="87">
        <f t="shared" si="8"/>
        <v>8</v>
      </c>
      <c r="C49" s="88" t="s">
        <v>6</v>
      </c>
      <c r="D49" s="89" t="s">
        <v>7</v>
      </c>
      <c r="E49" s="88" t="s">
        <v>426</v>
      </c>
      <c r="F49" s="90">
        <v>4400000</v>
      </c>
      <c r="G49" s="91"/>
      <c r="H49" s="92">
        <v>1000000</v>
      </c>
      <c r="I49" s="93"/>
      <c r="J49" s="22">
        <f t="shared" si="6"/>
        <v>4400000</v>
      </c>
      <c r="K49" s="22">
        <f t="shared" si="7"/>
        <v>1000000</v>
      </c>
      <c r="L49" s="23"/>
      <c r="M49" s="23"/>
      <c r="N49" s="23"/>
      <c r="O49" s="23"/>
      <c r="P49" s="23"/>
      <c r="Q49" s="23"/>
      <c r="R49" s="23"/>
      <c r="S49" s="23"/>
      <c r="T49" s="23"/>
      <c r="U49" s="23"/>
      <c r="V49" s="24"/>
      <c r="W49" s="24"/>
      <c r="X49" s="24"/>
      <c r="Y49" s="24"/>
      <c r="Z49" s="24"/>
      <c r="AA49" s="24"/>
      <c r="AB49" s="24"/>
      <c r="AC49" s="24"/>
      <c r="AD49" s="24"/>
      <c r="AE49" s="24"/>
      <c r="AF49" s="24"/>
      <c r="AG49" s="24"/>
      <c r="AH49" s="24"/>
      <c r="AI49" s="24"/>
      <c r="AJ49" s="24"/>
      <c r="AK49" s="24"/>
      <c r="AL49" s="24"/>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row>
    <row r="50" spans="1:114" s="34" customFormat="1" ht="15.75" customHeight="1">
      <c r="A50" s="109">
        <f t="shared" si="8"/>
        <v>32</v>
      </c>
      <c r="B50" s="87">
        <f t="shared" si="8"/>
        <v>9</v>
      </c>
      <c r="C50" s="88" t="s">
        <v>8</v>
      </c>
      <c r="D50" s="89" t="s">
        <v>9</v>
      </c>
      <c r="E50" s="88" t="s">
        <v>10</v>
      </c>
      <c r="F50" s="90">
        <v>577508</v>
      </c>
      <c r="G50" s="91"/>
      <c r="H50" s="92"/>
      <c r="I50" s="93"/>
      <c r="J50" s="22">
        <f t="shared" si="6"/>
        <v>577508</v>
      </c>
      <c r="K50" s="22">
        <f t="shared" si="7"/>
        <v>0</v>
      </c>
      <c r="L50" s="23"/>
      <c r="M50" s="23"/>
      <c r="N50" s="23"/>
      <c r="O50" s="23"/>
      <c r="P50" s="23"/>
      <c r="Q50" s="23"/>
      <c r="R50" s="23"/>
      <c r="S50" s="23"/>
      <c r="T50" s="23"/>
      <c r="U50" s="23"/>
      <c r="V50" s="24"/>
      <c r="W50" s="24"/>
      <c r="X50" s="24"/>
      <c r="Y50" s="24"/>
      <c r="Z50" s="24"/>
      <c r="AA50" s="24"/>
      <c r="AB50" s="24"/>
      <c r="AC50" s="24"/>
      <c r="AD50" s="24"/>
      <c r="AE50" s="24"/>
      <c r="AF50" s="24"/>
      <c r="AG50" s="24"/>
      <c r="AH50" s="24"/>
      <c r="AI50" s="24"/>
      <c r="AJ50" s="24"/>
      <c r="AK50" s="24"/>
      <c r="AL50" s="24"/>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row>
    <row r="51" spans="1:114" s="34" customFormat="1" ht="15.75" customHeight="1">
      <c r="A51" s="109">
        <f t="shared" si="8"/>
        <v>33</v>
      </c>
      <c r="B51" s="87">
        <f t="shared" si="8"/>
        <v>10</v>
      </c>
      <c r="C51" s="88" t="s">
        <v>11</v>
      </c>
      <c r="D51" s="89" t="s">
        <v>12</v>
      </c>
      <c r="E51" s="88" t="s">
        <v>426</v>
      </c>
      <c r="F51" s="90">
        <v>103289130</v>
      </c>
      <c r="G51" s="91"/>
      <c r="H51" s="92"/>
      <c r="I51" s="93"/>
      <c r="J51" s="22">
        <f t="shared" si="6"/>
        <v>103289130</v>
      </c>
      <c r="K51" s="22">
        <f t="shared" si="7"/>
        <v>0</v>
      </c>
      <c r="L51" s="23"/>
      <c r="M51" s="23"/>
      <c r="N51" s="23"/>
      <c r="O51" s="23"/>
      <c r="P51" s="23"/>
      <c r="Q51" s="23"/>
      <c r="R51" s="23"/>
      <c r="S51" s="23"/>
      <c r="T51" s="23"/>
      <c r="U51" s="23"/>
      <c r="V51" s="24"/>
      <c r="W51" s="24"/>
      <c r="X51" s="24"/>
      <c r="Y51" s="24"/>
      <c r="Z51" s="24"/>
      <c r="AA51" s="24"/>
      <c r="AB51" s="24"/>
      <c r="AC51" s="24"/>
      <c r="AD51" s="24"/>
      <c r="AE51" s="24"/>
      <c r="AF51" s="24"/>
      <c r="AG51" s="24"/>
      <c r="AH51" s="24"/>
      <c r="AI51" s="24"/>
      <c r="AJ51" s="24"/>
      <c r="AK51" s="24"/>
      <c r="AL51" s="24"/>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row>
    <row r="52" spans="1:114" s="34" customFormat="1" ht="15.75" customHeight="1">
      <c r="A52" s="109">
        <f t="shared" si="8"/>
        <v>34</v>
      </c>
      <c r="B52" s="87">
        <f t="shared" si="8"/>
        <v>11</v>
      </c>
      <c r="C52" s="88" t="s">
        <v>13</v>
      </c>
      <c r="D52" s="89" t="s">
        <v>14</v>
      </c>
      <c r="E52" s="88" t="s">
        <v>425</v>
      </c>
      <c r="F52" s="90">
        <v>1001510</v>
      </c>
      <c r="G52" s="91"/>
      <c r="H52" s="92"/>
      <c r="I52" s="93"/>
      <c r="J52" s="22">
        <f t="shared" si="6"/>
        <v>1001510</v>
      </c>
      <c r="K52" s="22">
        <f t="shared" si="7"/>
        <v>0</v>
      </c>
      <c r="L52" s="23"/>
      <c r="M52" s="23"/>
      <c r="N52" s="23"/>
      <c r="O52" s="23"/>
      <c r="P52" s="23"/>
      <c r="Q52" s="23"/>
      <c r="R52" s="23"/>
      <c r="S52" s="23"/>
      <c r="T52" s="23"/>
      <c r="U52" s="23"/>
      <c r="V52" s="24"/>
      <c r="W52" s="24"/>
      <c r="X52" s="24"/>
      <c r="Y52" s="24"/>
      <c r="Z52" s="24"/>
      <c r="AA52" s="24"/>
      <c r="AB52" s="24"/>
      <c r="AC52" s="24"/>
      <c r="AD52" s="24"/>
      <c r="AE52" s="24"/>
      <c r="AF52" s="24"/>
      <c r="AG52" s="24"/>
      <c r="AH52" s="24"/>
      <c r="AI52" s="24"/>
      <c r="AJ52" s="24"/>
      <c r="AK52" s="24"/>
      <c r="AL52" s="24"/>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row>
    <row r="53" spans="1:114" s="34" customFormat="1" ht="15.75" customHeight="1">
      <c r="A53" s="109">
        <f t="shared" si="8"/>
        <v>35</v>
      </c>
      <c r="B53" s="87">
        <f t="shared" si="8"/>
        <v>12</v>
      </c>
      <c r="C53" s="88" t="s">
        <v>15</v>
      </c>
      <c r="D53" s="89" t="s">
        <v>16</v>
      </c>
      <c r="E53" s="88" t="s">
        <v>428</v>
      </c>
      <c r="F53" s="90">
        <v>176490000</v>
      </c>
      <c r="G53" s="91"/>
      <c r="H53" s="92">
        <v>150000000</v>
      </c>
      <c r="I53" s="93"/>
      <c r="J53" s="22">
        <f t="shared" si="6"/>
        <v>176490000</v>
      </c>
      <c r="K53" s="22">
        <f t="shared" si="7"/>
        <v>150000000</v>
      </c>
      <c r="L53" s="23"/>
      <c r="M53" s="23"/>
      <c r="N53" s="23"/>
      <c r="O53" s="23"/>
      <c r="P53" s="23"/>
      <c r="Q53" s="23"/>
      <c r="R53" s="23"/>
      <c r="S53" s="23"/>
      <c r="T53" s="23"/>
      <c r="U53" s="23"/>
      <c r="V53" s="24"/>
      <c r="W53" s="24"/>
      <c r="X53" s="24"/>
      <c r="Y53" s="24"/>
      <c r="Z53" s="24"/>
      <c r="AA53" s="24"/>
      <c r="AB53" s="24"/>
      <c r="AC53" s="24"/>
      <c r="AD53" s="24"/>
      <c r="AE53" s="24"/>
      <c r="AF53" s="24"/>
      <c r="AG53" s="24"/>
      <c r="AH53" s="24"/>
      <c r="AI53" s="24"/>
      <c r="AJ53" s="24"/>
      <c r="AK53" s="24"/>
      <c r="AL53" s="24"/>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row>
    <row r="54" spans="1:114" s="34" customFormat="1" ht="15.75" customHeight="1">
      <c r="A54" s="109">
        <f t="shared" si="8"/>
        <v>36</v>
      </c>
      <c r="B54" s="87">
        <f t="shared" si="8"/>
        <v>13</v>
      </c>
      <c r="C54" s="88" t="s">
        <v>15</v>
      </c>
      <c r="D54" s="89" t="s">
        <v>17</v>
      </c>
      <c r="E54" s="88" t="s">
        <v>428</v>
      </c>
      <c r="F54" s="90">
        <v>212120000</v>
      </c>
      <c r="G54" s="91"/>
      <c r="H54" s="92">
        <v>120000000</v>
      </c>
      <c r="I54" s="93"/>
      <c r="J54" s="22">
        <f t="shared" si="6"/>
        <v>212120000</v>
      </c>
      <c r="K54" s="22">
        <f t="shared" si="7"/>
        <v>120000000</v>
      </c>
      <c r="L54" s="23"/>
      <c r="M54" s="23"/>
      <c r="N54" s="23"/>
      <c r="O54" s="23"/>
      <c r="P54" s="23"/>
      <c r="Q54" s="23"/>
      <c r="R54" s="23"/>
      <c r="S54" s="23"/>
      <c r="T54" s="23"/>
      <c r="U54" s="23"/>
      <c r="V54" s="24"/>
      <c r="W54" s="24"/>
      <c r="X54" s="24"/>
      <c r="Y54" s="24"/>
      <c r="Z54" s="24"/>
      <c r="AA54" s="24"/>
      <c r="AB54" s="24"/>
      <c r="AC54" s="24"/>
      <c r="AD54" s="24"/>
      <c r="AE54" s="24"/>
      <c r="AF54" s="24"/>
      <c r="AG54" s="24"/>
      <c r="AH54" s="24"/>
      <c r="AI54" s="24"/>
      <c r="AJ54" s="24"/>
      <c r="AK54" s="24"/>
      <c r="AL54" s="24"/>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row>
    <row r="55" spans="1:114" s="34" customFormat="1" ht="15.75" customHeight="1">
      <c r="A55" s="109">
        <f t="shared" si="8"/>
        <v>37</v>
      </c>
      <c r="B55" s="87">
        <f t="shared" si="8"/>
        <v>14</v>
      </c>
      <c r="C55" s="88" t="s">
        <v>18</v>
      </c>
      <c r="D55" s="89" t="s">
        <v>19</v>
      </c>
      <c r="E55" s="88" t="s">
        <v>472</v>
      </c>
      <c r="F55" s="90">
        <v>51000000</v>
      </c>
      <c r="G55" s="91"/>
      <c r="H55" s="92">
        <v>30000000</v>
      </c>
      <c r="I55" s="93"/>
      <c r="J55" s="22">
        <f t="shared" si="6"/>
        <v>51000000</v>
      </c>
      <c r="K55" s="22">
        <f t="shared" si="7"/>
        <v>30000000</v>
      </c>
      <c r="L55" s="23"/>
      <c r="M55" s="23"/>
      <c r="N55" s="23"/>
      <c r="O55" s="23"/>
      <c r="P55" s="23"/>
      <c r="Q55" s="23"/>
      <c r="R55" s="23"/>
      <c r="S55" s="23"/>
      <c r="T55" s="23"/>
      <c r="U55" s="23"/>
      <c r="V55" s="24"/>
      <c r="W55" s="24"/>
      <c r="X55" s="24"/>
      <c r="Y55" s="24"/>
      <c r="Z55" s="24"/>
      <c r="AA55" s="24"/>
      <c r="AB55" s="24"/>
      <c r="AC55" s="24"/>
      <c r="AD55" s="24"/>
      <c r="AE55" s="24"/>
      <c r="AF55" s="24"/>
      <c r="AG55" s="24"/>
      <c r="AH55" s="24"/>
      <c r="AI55" s="24"/>
      <c r="AJ55" s="24"/>
      <c r="AK55" s="24"/>
      <c r="AL55" s="24"/>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row>
    <row r="56" spans="1:114" s="34" customFormat="1" ht="15.75" customHeight="1">
      <c r="A56" s="109">
        <f t="shared" si="8"/>
        <v>38</v>
      </c>
      <c r="B56" s="87">
        <f t="shared" si="8"/>
        <v>15</v>
      </c>
      <c r="C56" s="88" t="s">
        <v>20</v>
      </c>
      <c r="D56" s="89" t="s">
        <v>21</v>
      </c>
      <c r="E56" s="88" t="s">
        <v>22</v>
      </c>
      <c r="F56" s="90">
        <v>4722321</v>
      </c>
      <c r="G56" s="91"/>
      <c r="H56" s="92"/>
      <c r="I56" s="93"/>
      <c r="J56" s="22">
        <f t="shared" si="6"/>
        <v>4722321</v>
      </c>
      <c r="K56" s="22">
        <f t="shared" si="7"/>
        <v>0</v>
      </c>
      <c r="L56" s="23"/>
      <c r="M56" s="23"/>
      <c r="N56" s="23"/>
      <c r="O56" s="23"/>
      <c r="P56" s="23"/>
      <c r="Q56" s="23"/>
      <c r="R56" s="23"/>
      <c r="S56" s="23"/>
      <c r="T56" s="23"/>
      <c r="U56" s="23"/>
      <c r="V56" s="24"/>
      <c r="W56" s="24"/>
      <c r="X56" s="24"/>
      <c r="Y56" s="24"/>
      <c r="Z56" s="24"/>
      <c r="AA56" s="24"/>
      <c r="AB56" s="24"/>
      <c r="AC56" s="24"/>
      <c r="AD56" s="24"/>
      <c r="AE56" s="24"/>
      <c r="AF56" s="24"/>
      <c r="AG56" s="24"/>
      <c r="AH56" s="24"/>
      <c r="AI56" s="24"/>
      <c r="AJ56" s="24"/>
      <c r="AK56" s="24"/>
      <c r="AL56" s="24"/>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row>
    <row r="57" spans="1:114" s="34" customFormat="1" ht="15.75" customHeight="1">
      <c r="A57" s="109">
        <f t="shared" si="8"/>
        <v>39</v>
      </c>
      <c r="B57" s="87">
        <f t="shared" si="8"/>
        <v>16</v>
      </c>
      <c r="C57" s="88" t="s">
        <v>23</v>
      </c>
      <c r="D57" s="89" t="s">
        <v>24</v>
      </c>
      <c r="E57" s="88" t="s">
        <v>22</v>
      </c>
      <c r="F57" s="90">
        <v>2555206</v>
      </c>
      <c r="G57" s="91"/>
      <c r="H57" s="92"/>
      <c r="I57" s="93"/>
      <c r="J57" s="22">
        <f t="shared" si="6"/>
        <v>2555206</v>
      </c>
      <c r="K57" s="22">
        <f t="shared" si="7"/>
        <v>0</v>
      </c>
      <c r="L57" s="23"/>
      <c r="M57" s="23"/>
      <c r="N57" s="23"/>
      <c r="O57" s="23"/>
      <c r="P57" s="23"/>
      <c r="Q57" s="23"/>
      <c r="R57" s="23"/>
      <c r="S57" s="23"/>
      <c r="T57" s="23"/>
      <c r="U57" s="23"/>
      <c r="V57" s="24"/>
      <c r="W57" s="24"/>
      <c r="X57" s="24"/>
      <c r="Y57" s="24"/>
      <c r="Z57" s="24"/>
      <c r="AA57" s="24"/>
      <c r="AB57" s="24"/>
      <c r="AC57" s="24"/>
      <c r="AD57" s="24"/>
      <c r="AE57" s="24"/>
      <c r="AF57" s="24"/>
      <c r="AG57" s="24"/>
      <c r="AH57" s="24"/>
      <c r="AI57" s="24"/>
      <c r="AJ57" s="24"/>
      <c r="AK57" s="24"/>
      <c r="AL57" s="24"/>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row>
    <row r="58" spans="1:114" s="34" customFormat="1" ht="15.75" customHeight="1">
      <c r="A58" s="109">
        <f t="shared" si="8"/>
        <v>40</v>
      </c>
      <c r="B58" s="87">
        <f t="shared" si="8"/>
        <v>17</v>
      </c>
      <c r="C58" s="88" t="s">
        <v>25</v>
      </c>
      <c r="D58" s="89" t="s">
        <v>585</v>
      </c>
      <c r="E58" s="88" t="s">
        <v>427</v>
      </c>
      <c r="F58" s="90">
        <f>214071250.6+219748.03+3785336.02+1480889.63+2447859.77+55000000+100646.82</f>
        <v>277105730.87</v>
      </c>
      <c r="G58" s="91"/>
      <c r="H58" s="92">
        <f>85000000+19000000</f>
        <v>104000000</v>
      </c>
      <c r="I58" s="101" t="s">
        <v>26</v>
      </c>
      <c r="J58" s="22">
        <f t="shared" si="6"/>
        <v>277105730.87</v>
      </c>
      <c r="K58" s="22">
        <f t="shared" si="7"/>
        <v>104000000</v>
      </c>
      <c r="L58" s="23"/>
      <c r="M58" s="23"/>
      <c r="N58" s="23"/>
      <c r="O58" s="23"/>
      <c r="P58" s="23"/>
      <c r="Q58" s="23"/>
      <c r="R58" s="23"/>
      <c r="S58" s="23"/>
      <c r="T58" s="23"/>
      <c r="U58" s="23"/>
      <c r="V58" s="24"/>
      <c r="W58" s="24"/>
      <c r="X58" s="24"/>
      <c r="Y58" s="24"/>
      <c r="Z58" s="24"/>
      <c r="AA58" s="24"/>
      <c r="AB58" s="24"/>
      <c r="AC58" s="24"/>
      <c r="AD58" s="24"/>
      <c r="AE58" s="24"/>
      <c r="AF58" s="24"/>
      <c r="AG58" s="24"/>
      <c r="AH58" s="24"/>
      <c r="AI58" s="24"/>
      <c r="AJ58" s="24"/>
      <c r="AK58" s="24"/>
      <c r="AL58" s="24"/>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row>
    <row r="59" spans="1:114" s="34" customFormat="1" ht="15.75" customHeight="1">
      <c r="A59" s="109">
        <f aca="true" t="shared" si="9" ref="A59:B64">A58+1</f>
        <v>41</v>
      </c>
      <c r="B59" s="87">
        <f t="shared" si="9"/>
        <v>18</v>
      </c>
      <c r="C59" s="88" t="s">
        <v>27</v>
      </c>
      <c r="D59" s="89" t="s">
        <v>586</v>
      </c>
      <c r="E59" s="88" t="s">
        <v>427</v>
      </c>
      <c r="F59" s="90">
        <f>193000000+280484.82-8490-538.12+71336.22-38396637</f>
        <v>154946155.92</v>
      </c>
      <c r="G59" s="91"/>
      <c r="H59" s="92">
        <v>50000000</v>
      </c>
      <c r="I59" s="101" t="s">
        <v>28</v>
      </c>
      <c r="J59" s="22">
        <f t="shared" si="6"/>
        <v>154946155.92</v>
      </c>
      <c r="K59" s="22">
        <f t="shared" si="7"/>
        <v>50000000</v>
      </c>
      <c r="L59" s="23"/>
      <c r="M59" s="23"/>
      <c r="N59" s="23"/>
      <c r="O59" s="23"/>
      <c r="P59" s="23"/>
      <c r="Q59" s="23"/>
      <c r="R59" s="23"/>
      <c r="S59" s="23"/>
      <c r="T59" s="23"/>
      <c r="U59" s="23"/>
      <c r="V59" s="24"/>
      <c r="W59" s="24"/>
      <c r="X59" s="24"/>
      <c r="Y59" s="24"/>
      <c r="Z59" s="24"/>
      <c r="AA59" s="24"/>
      <c r="AB59" s="24"/>
      <c r="AC59" s="24"/>
      <c r="AD59" s="24"/>
      <c r="AE59" s="24"/>
      <c r="AF59" s="24"/>
      <c r="AG59" s="24"/>
      <c r="AH59" s="24"/>
      <c r="AI59" s="24"/>
      <c r="AJ59" s="24"/>
      <c r="AK59" s="24"/>
      <c r="AL59" s="24"/>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row>
    <row r="60" spans="1:114" s="34" customFormat="1" ht="15.75" customHeight="1">
      <c r="A60" s="109">
        <f t="shared" si="9"/>
        <v>42</v>
      </c>
      <c r="B60" s="87">
        <f t="shared" si="9"/>
        <v>19</v>
      </c>
      <c r="C60" s="88" t="s">
        <v>29</v>
      </c>
      <c r="D60" s="89" t="s">
        <v>30</v>
      </c>
      <c r="E60" s="88" t="s">
        <v>425</v>
      </c>
      <c r="F60" s="90">
        <f>8905500-5500</f>
        <v>8900000</v>
      </c>
      <c r="G60" s="91"/>
      <c r="H60" s="92"/>
      <c r="I60" s="93"/>
      <c r="J60" s="22">
        <f t="shared" si="6"/>
        <v>8900000</v>
      </c>
      <c r="K60" s="22">
        <f t="shared" si="7"/>
        <v>0</v>
      </c>
      <c r="L60" s="23"/>
      <c r="M60" s="23"/>
      <c r="N60" s="23"/>
      <c r="O60" s="23"/>
      <c r="P60" s="23"/>
      <c r="Q60" s="23"/>
      <c r="R60" s="23"/>
      <c r="S60" s="23"/>
      <c r="T60" s="23"/>
      <c r="U60" s="23"/>
      <c r="V60" s="24"/>
      <c r="W60" s="24"/>
      <c r="X60" s="24"/>
      <c r="Y60" s="24"/>
      <c r="Z60" s="24"/>
      <c r="AA60" s="24"/>
      <c r="AB60" s="24"/>
      <c r="AC60" s="24"/>
      <c r="AD60" s="24"/>
      <c r="AE60" s="24"/>
      <c r="AF60" s="24"/>
      <c r="AG60" s="24"/>
      <c r="AH60" s="24"/>
      <c r="AI60" s="24"/>
      <c r="AJ60" s="24"/>
      <c r="AK60" s="24"/>
      <c r="AL60" s="24"/>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row>
    <row r="61" spans="1:114" s="26" customFormat="1" ht="15.75" customHeight="1">
      <c r="A61" s="111">
        <f t="shared" si="9"/>
        <v>43</v>
      </c>
      <c r="B61" s="95">
        <f t="shared" si="9"/>
        <v>20</v>
      </c>
      <c r="C61" s="96" t="s">
        <v>31</v>
      </c>
      <c r="D61" s="97" t="s">
        <v>587</v>
      </c>
      <c r="E61" s="96" t="s">
        <v>426</v>
      </c>
      <c r="F61" s="98">
        <v>19658800</v>
      </c>
      <c r="G61" s="99"/>
      <c r="H61" s="92"/>
      <c r="I61" s="93"/>
      <c r="J61" s="22">
        <f t="shared" si="6"/>
        <v>19658800</v>
      </c>
      <c r="K61" s="22">
        <f t="shared" si="7"/>
        <v>0</v>
      </c>
      <c r="L61" s="23"/>
      <c r="M61" s="23"/>
      <c r="N61" s="23"/>
      <c r="O61" s="23"/>
      <c r="P61" s="23"/>
      <c r="Q61" s="23"/>
      <c r="R61" s="23"/>
      <c r="S61" s="23"/>
      <c r="T61" s="23"/>
      <c r="U61" s="23"/>
      <c r="V61" s="24"/>
      <c r="W61" s="24"/>
      <c r="X61" s="24"/>
      <c r="Y61" s="24"/>
      <c r="Z61" s="24"/>
      <c r="AA61" s="24"/>
      <c r="AB61" s="24"/>
      <c r="AC61" s="24"/>
      <c r="AD61" s="24"/>
      <c r="AE61" s="24"/>
      <c r="AF61" s="24"/>
      <c r="AG61" s="24"/>
      <c r="AH61" s="24"/>
      <c r="AI61" s="24"/>
      <c r="AJ61" s="24"/>
      <c r="AK61" s="24"/>
      <c r="AL61" s="24"/>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row>
    <row r="62" spans="1:114" s="34" customFormat="1" ht="15.75" customHeight="1">
      <c r="A62" s="109">
        <f t="shared" si="9"/>
        <v>44</v>
      </c>
      <c r="B62" s="87">
        <f t="shared" si="9"/>
        <v>21</v>
      </c>
      <c r="C62" s="88" t="s">
        <v>32</v>
      </c>
      <c r="D62" s="89" t="s">
        <v>33</v>
      </c>
      <c r="E62" s="88" t="s">
        <v>425</v>
      </c>
      <c r="F62" s="90">
        <f>5933500-3500</f>
        <v>5930000</v>
      </c>
      <c r="G62" s="91"/>
      <c r="H62" s="92"/>
      <c r="I62" s="93"/>
      <c r="J62" s="22">
        <f t="shared" si="6"/>
        <v>5930000</v>
      </c>
      <c r="K62" s="22">
        <f t="shared" si="7"/>
        <v>0</v>
      </c>
      <c r="L62" s="23"/>
      <c r="M62" s="23"/>
      <c r="N62" s="23"/>
      <c r="O62" s="23"/>
      <c r="P62" s="23"/>
      <c r="Q62" s="23"/>
      <c r="R62" s="23"/>
      <c r="S62" s="23"/>
      <c r="T62" s="23"/>
      <c r="U62" s="23"/>
      <c r="V62" s="24"/>
      <c r="W62" s="24"/>
      <c r="X62" s="24"/>
      <c r="Y62" s="24"/>
      <c r="Z62" s="24"/>
      <c r="AA62" s="24"/>
      <c r="AB62" s="24"/>
      <c r="AC62" s="24"/>
      <c r="AD62" s="24"/>
      <c r="AE62" s="24"/>
      <c r="AF62" s="24"/>
      <c r="AG62" s="24"/>
      <c r="AH62" s="24"/>
      <c r="AI62" s="24"/>
      <c r="AJ62" s="24"/>
      <c r="AK62" s="24"/>
      <c r="AL62" s="24"/>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row>
    <row r="63" spans="1:114" s="34" customFormat="1" ht="15.75" customHeight="1">
      <c r="A63" s="109">
        <f t="shared" si="9"/>
        <v>45</v>
      </c>
      <c r="B63" s="87">
        <f t="shared" si="9"/>
        <v>22</v>
      </c>
      <c r="C63" s="88" t="s">
        <v>34</v>
      </c>
      <c r="D63" s="89" t="s">
        <v>588</v>
      </c>
      <c r="E63" s="88" t="s">
        <v>426</v>
      </c>
      <c r="F63" s="90">
        <v>14372806.76</v>
      </c>
      <c r="G63" s="91"/>
      <c r="H63" s="92"/>
      <c r="I63" s="93"/>
      <c r="J63" s="22">
        <f t="shared" si="6"/>
        <v>14372806.76</v>
      </c>
      <c r="K63" s="22">
        <f t="shared" si="7"/>
        <v>0</v>
      </c>
      <c r="L63" s="23"/>
      <c r="M63" s="23"/>
      <c r="N63" s="23"/>
      <c r="O63" s="23"/>
      <c r="P63" s="23"/>
      <c r="Q63" s="23"/>
      <c r="R63" s="23"/>
      <c r="S63" s="23"/>
      <c r="T63" s="23"/>
      <c r="U63" s="23"/>
      <c r="V63" s="24"/>
      <c r="W63" s="24"/>
      <c r="X63" s="24"/>
      <c r="Y63" s="24"/>
      <c r="Z63" s="24"/>
      <c r="AA63" s="24"/>
      <c r="AB63" s="24"/>
      <c r="AC63" s="24"/>
      <c r="AD63" s="24"/>
      <c r="AE63" s="24"/>
      <c r="AF63" s="24"/>
      <c r="AG63" s="24"/>
      <c r="AH63" s="24"/>
      <c r="AI63" s="24"/>
      <c r="AJ63" s="24"/>
      <c r="AK63" s="24"/>
      <c r="AL63" s="24"/>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row>
    <row r="64" spans="1:114" s="34" customFormat="1" ht="15.75" customHeight="1">
      <c r="A64" s="68">
        <f t="shared" si="9"/>
        <v>46</v>
      </c>
      <c r="B64" s="69">
        <f t="shared" si="9"/>
        <v>23</v>
      </c>
      <c r="C64" s="70" t="s">
        <v>35</v>
      </c>
      <c r="D64" s="71" t="s">
        <v>36</v>
      </c>
      <c r="E64" s="70" t="s">
        <v>425</v>
      </c>
      <c r="F64" s="72">
        <f>5102000-2000</f>
        <v>5100000</v>
      </c>
      <c r="G64" s="73"/>
      <c r="H64" s="74"/>
      <c r="I64" s="75"/>
      <c r="J64" s="22">
        <f t="shared" si="6"/>
        <v>5100000</v>
      </c>
      <c r="K64" s="22">
        <f t="shared" si="7"/>
        <v>0</v>
      </c>
      <c r="L64" s="23"/>
      <c r="M64" s="23"/>
      <c r="N64" s="23"/>
      <c r="O64" s="23"/>
      <c r="P64" s="23"/>
      <c r="Q64" s="23"/>
      <c r="R64" s="23"/>
      <c r="S64" s="23"/>
      <c r="T64" s="23"/>
      <c r="U64" s="23"/>
      <c r="V64" s="24"/>
      <c r="W64" s="24"/>
      <c r="X64" s="24"/>
      <c r="Y64" s="24"/>
      <c r="Z64" s="24"/>
      <c r="AA64" s="24"/>
      <c r="AB64" s="24"/>
      <c r="AC64" s="24"/>
      <c r="AD64" s="24"/>
      <c r="AE64" s="24"/>
      <c r="AF64" s="24"/>
      <c r="AG64" s="24"/>
      <c r="AH64" s="24"/>
      <c r="AI64" s="24"/>
      <c r="AJ64" s="24"/>
      <c r="AK64" s="24"/>
      <c r="AL64" s="24"/>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row>
    <row r="65" spans="1:114" s="26" customFormat="1" ht="15.75" customHeight="1">
      <c r="A65" s="167" t="s">
        <v>37</v>
      </c>
      <c r="B65" s="168"/>
      <c r="C65" s="168"/>
      <c r="D65" s="168"/>
      <c r="E65" s="18"/>
      <c r="F65" s="19">
        <f>SUM(F42:F64)</f>
        <v>2579176600.55</v>
      </c>
      <c r="G65" s="19"/>
      <c r="H65" s="20">
        <f>SUM(H42:H64)</f>
        <v>2047447711</v>
      </c>
      <c r="I65" s="21"/>
      <c r="J65" s="22"/>
      <c r="K65" s="33"/>
      <c r="L65" s="23"/>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row>
    <row r="66" spans="1:114" s="34" customFormat="1" ht="15.75" customHeight="1">
      <c r="A66" s="170">
        <v>1995</v>
      </c>
      <c r="B66" s="171"/>
      <c r="C66" s="171"/>
      <c r="D66" s="171"/>
      <c r="E66" s="171"/>
      <c r="F66" s="171"/>
      <c r="G66" s="171"/>
      <c r="H66" s="171"/>
      <c r="I66" s="172"/>
      <c r="J66" s="22">
        <f aca="true" t="shared" si="10" ref="J66:J96">+F66</f>
        <v>0</v>
      </c>
      <c r="K66" s="22">
        <f aca="true" t="shared" si="11" ref="K66:K96">+H66</f>
        <v>0</v>
      </c>
      <c r="L66" s="23"/>
      <c r="M66" s="23"/>
      <c r="N66" s="23"/>
      <c r="O66" s="23"/>
      <c r="P66" s="23"/>
      <c r="Q66" s="23"/>
      <c r="R66" s="23"/>
      <c r="S66" s="23"/>
      <c r="T66" s="23"/>
      <c r="U66" s="23"/>
      <c r="V66" s="24"/>
      <c r="W66" s="24"/>
      <c r="X66" s="24"/>
      <c r="Y66" s="24"/>
      <c r="Z66" s="24"/>
      <c r="AA66" s="24"/>
      <c r="AB66" s="24"/>
      <c r="AC66" s="24"/>
      <c r="AD66" s="24"/>
      <c r="AE66" s="24"/>
      <c r="AF66" s="24"/>
      <c r="AG66" s="24"/>
      <c r="AH66" s="24"/>
      <c r="AI66" s="24"/>
      <c r="AJ66" s="24"/>
      <c r="AK66" s="24"/>
      <c r="AL66" s="24"/>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row>
    <row r="67" spans="1:114" s="34" customFormat="1" ht="15.75" customHeight="1">
      <c r="A67" s="61">
        <f>A64+1</f>
        <v>47</v>
      </c>
      <c r="B67" s="62">
        <v>1</v>
      </c>
      <c r="C67" s="63" t="s">
        <v>38</v>
      </c>
      <c r="D67" s="64" t="s">
        <v>39</v>
      </c>
      <c r="E67" s="63" t="s">
        <v>425</v>
      </c>
      <c r="F67" s="84">
        <f>10254750-4000</f>
        <v>10250750</v>
      </c>
      <c r="G67" s="85"/>
      <c r="H67" s="65"/>
      <c r="I67" s="67"/>
      <c r="J67" s="22">
        <f t="shared" si="10"/>
        <v>10250750</v>
      </c>
      <c r="K67" s="22">
        <f t="shared" si="11"/>
        <v>0</v>
      </c>
      <c r="L67" s="23"/>
      <c r="M67" s="23"/>
      <c r="N67" s="23"/>
      <c r="O67" s="23"/>
      <c r="P67" s="23"/>
      <c r="Q67" s="23"/>
      <c r="R67" s="23"/>
      <c r="S67" s="23"/>
      <c r="T67" s="23"/>
      <c r="U67" s="23"/>
      <c r="V67" s="24"/>
      <c r="W67" s="24"/>
      <c r="X67" s="24"/>
      <c r="Y67" s="24"/>
      <c r="Z67" s="24"/>
      <c r="AA67" s="24"/>
      <c r="AB67" s="24"/>
      <c r="AC67" s="24"/>
      <c r="AD67" s="24"/>
      <c r="AE67" s="24"/>
      <c r="AF67" s="24"/>
      <c r="AG67" s="24"/>
      <c r="AH67" s="24"/>
      <c r="AI67" s="24"/>
      <c r="AJ67" s="24"/>
      <c r="AK67" s="24"/>
      <c r="AL67" s="24"/>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row>
    <row r="68" spans="1:114" s="34" customFormat="1" ht="15.75" customHeight="1">
      <c r="A68" s="109">
        <f aca="true" t="shared" si="12" ref="A68:B83">A67+1</f>
        <v>48</v>
      </c>
      <c r="B68" s="87">
        <f t="shared" si="12"/>
        <v>2</v>
      </c>
      <c r="C68" s="88" t="s">
        <v>40</v>
      </c>
      <c r="D68" s="89" t="s">
        <v>41</v>
      </c>
      <c r="E68" s="88" t="s">
        <v>490</v>
      </c>
      <c r="F68" s="90">
        <v>151165</v>
      </c>
      <c r="G68" s="91"/>
      <c r="H68" s="92"/>
      <c r="I68" s="93"/>
      <c r="J68" s="22">
        <f t="shared" si="10"/>
        <v>151165</v>
      </c>
      <c r="K68" s="22">
        <f t="shared" si="11"/>
        <v>0</v>
      </c>
      <c r="L68" s="23"/>
      <c r="M68" s="23"/>
      <c r="N68" s="23"/>
      <c r="O68" s="23"/>
      <c r="P68" s="23"/>
      <c r="Q68" s="23"/>
      <c r="R68" s="23"/>
      <c r="S68" s="23"/>
      <c r="T68" s="23"/>
      <c r="U68" s="23"/>
      <c r="V68" s="24"/>
      <c r="W68" s="24"/>
      <c r="X68" s="24"/>
      <c r="Y68" s="24"/>
      <c r="Z68" s="24"/>
      <c r="AA68" s="24"/>
      <c r="AB68" s="24"/>
      <c r="AC68" s="24"/>
      <c r="AD68" s="24"/>
      <c r="AE68" s="24"/>
      <c r="AF68" s="24"/>
      <c r="AG68" s="24"/>
      <c r="AH68" s="24"/>
      <c r="AI68" s="24"/>
      <c r="AJ68" s="24"/>
      <c r="AK68" s="24"/>
      <c r="AL68" s="24"/>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row>
    <row r="69" spans="1:114" s="34" customFormat="1" ht="15.75" customHeight="1">
      <c r="A69" s="109">
        <f t="shared" si="12"/>
        <v>49</v>
      </c>
      <c r="B69" s="87">
        <f t="shared" si="12"/>
        <v>3</v>
      </c>
      <c r="C69" s="88" t="s">
        <v>42</v>
      </c>
      <c r="D69" s="89" t="s">
        <v>43</v>
      </c>
      <c r="E69" s="88" t="s">
        <v>425</v>
      </c>
      <c r="F69" s="90">
        <f>7505500-5500</f>
        <v>7500000</v>
      </c>
      <c r="G69" s="91"/>
      <c r="H69" s="92"/>
      <c r="I69" s="93"/>
      <c r="J69" s="22">
        <f t="shared" si="10"/>
        <v>7500000</v>
      </c>
      <c r="K69" s="22">
        <f t="shared" si="11"/>
        <v>0</v>
      </c>
      <c r="L69" s="23"/>
      <c r="M69" s="23"/>
      <c r="N69" s="23"/>
      <c r="O69" s="23"/>
      <c r="P69" s="23"/>
      <c r="Q69" s="23"/>
      <c r="R69" s="23"/>
      <c r="S69" s="23"/>
      <c r="T69" s="23"/>
      <c r="U69" s="23"/>
      <c r="V69" s="24"/>
      <c r="W69" s="24"/>
      <c r="X69" s="24"/>
      <c r="Y69" s="24"/>
      <c r="Z69" s="24"/>
      <c r="AA69" s="24"/>
      <c r="AB69" s="24"/>
      <c r="AC69" s="24"/>
      <c r="AD69" s="24"/>
      <c r="AE69" s="24"/>
      <c r="AF69" s="24"/>
      <c r="AG69" s="24"/>
      <c r="AH69" s="24"/>
      <c r="AI69" s="24"/>
      <c r="AJ69" s="24"/>
      <c r="AK69" s="24"/>
      <c r="AL69" s="24"/>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row>
    <row r="70" spans="1:114" s="34" customFormat="1" ht="15.75" customHeight="1">
      <c r="A70" s="109">
        <f t="shared" si="12"/>
        <v>50</v>
      </c>
      <c r="B70" s="87">
        <f t="shared" si="12"/>
        <v>4</v>
      </c>
      <c r="C70" s="88" t="s">
        <v>42</v>
      </c>
      <c r="D70" s="89" t="s">
        <v>589</v>
      </c>
      <c r="E70" s="88" t="s">
        <v>44</v>
      </c>
      <c r="F70" s="90">
        <f>25296643-2112222-4507777</f>
        <v>18676644</v>
      </c>
      <c r="G70" s="91"/>
      <c r="H70" s="92">
        <f>16611686-1184303-5520960</f>
        <v>9906423</v>
      </c>
      <c r="I70" s="101" t="s">
        <v>498</v>
      </c>
      <c r="J70" s="22">
        <f t="shared" si="10"/>
        <v>18676644</v>
      </c>
      <c r="K70" s="22">
        <f t="shared" si="11"/>
        <v>9906423</v>
      </c>
      <c r="L70" s="23"/>
      <c r="M70" s="23"/>
      <c r="N70" s="23"/>
      <c r="O70" s="23"/>
      <c r="P70" s="23"/>
      <c r="Q70" s="23"/>
      <c r="R70" s="23"/>
      <c r="S70" s="23"/>
      <c r="T70" s="23"/>
      <c r="U70" s="23"/>
      <c r="V70" s="24"/>
      <c r="W70" s="24"/>
      <c r="X70" s="24"/>
      <c r="Y70" s="24"/>
      <c r="Z70" s="24"/>
      <c r="AA70" s="24"/>
      <c r="AB70" s="24"/>
      <c r="AC70" s="24"/>
      <c r="AD70" s="24"/>
      <c r="AE70" s="24"/>
      <c r="AF70" s="24"/>
      <c r="AG70" s="24"/>
      <c r="AH70" s="24"/>
      <c r="AI70" s="24"/>
      <c r="AJ70" s="24"/>
      <c r="AK70" s="24"/>
      <c r="AL70" s="24"/>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row>
    <row r="71" spans="1:114" s="34" customFormat="1" ht="15.75" customHeight="1">
      <c r="A71" s="109">
        <f t="shared" si="12"/>
        <v>51</v>
      </c>
      <c r="B71" s="87">
        <f t="shared" si="12"/>
        <v>5</v>
      </c>
      <c r="C71" s="88" t="s">
        <v>45</v>
      </c>
      <c r="D71" s="89" t="s">
        <v>590</v>
      </c>
      <c r="E71" s="88" t="s">
        <v>538</v>
      </c>
      <c r="F71" s="90">
        <v>19710594</v>
      </c>
      <c r="G71" s="91"/>
      <c r="H71" s="92"/>
      <c r="I71" s="93"/>
      <c r="J71" s="22">
        <f t="shared" si="10"/>
        <v>19710594</v>
      </c>
      <c r="K71" s="22">
        <f t="shared" si="11"/>
        <v>0</v>
      </c>
      <c r="L71" s="23"/>
      <c r="M71" s="23"/>
      <c r="N71" s="23"/>
      <c r="O71" s="23"/>
      <c r="P71" s="23"/>
      <c r="Q71" s="23"/>
      <c r="R71" s="23"/>
      <c r="S71" s="23"/>
      <c r="T71" s="23"/>
      <c r="U71" s="23"/>
      <c r="V71" s="24"/>
      <c r="W71" s="24"/>
      <c r="X71" s="24"/>
      <c r="Y71" s="24"/>
      <c r="Z71" s="24"/>
      <c r="AA71" s="24"/>
      <c r="AB71" s="24"/>
      <c r="AC71" s="24"/>
      <c r="AD71" s="24"/>
      <c r="AE71" s="24"/>
      <c r="AF71" s="24"/>
      <c r="AG71" s="24"/>
      <c r="AH71" s="24"/>
      <c r="AI71" s="24"/>
      <c r="AJ71" s="24"/>
      <c r="AK71" s="24"/>
      <c r="AL71" s="24"/>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row>
    <row r="72" spans="1:114" s="34" customFormat="1" ht="15.75" customHeight="1">
      <c r="A72" s="109">
        <f t="shared" si="12"/>
        <v>52</v>
      </c>
      <c r="B72" s="87">
        <f t="shared" si="12"/>
        <v>6</v>
      </c>
      <c r="C72" s="110" t="s">
        <v>46</v>
      </c>
      <c r="D72" s="89" t="s">
        <v>591</v>
      </c>
      <c r="E72" s="88" t="s">
        <v>425</v>
      </c>
      <c r="F72" s="90">
        <v>2154500</v>
      </c>
      <c r="G72" s="91"/>
      <c r="H72" s="92"/>
      <c r="I72" s="93"/>
      <c r="J72" s="22">
        <f t="shared" si="10"/>
        <v>2154500</v>
      </c>
      <c r="K72" s="22">
        <f t="shared" si="11"/>
        <v>0</v>
      </c>
      <c r="L72" s="23"/>
      <c r="M72" s="23"/>
      <c r="N72" s="23"/>
      <c r="O72" s="23"/>
      <c r="P72" s="23"/>
      <c r="Q72" s="23"/>
      <c r="R72" s="23"/>
      <c r="S72" s="23"/>
      <c r="T72" s="23"/>
      <c r="U72" s="23"/>
      <c r="V72" s="24"/>
      <c r="W72" s="24"/>
      <c r="X72" s="24"/>
      <c r="Y72" s="24"/>
      <c r="Z72" s="24"/>
      <c r="AA72" s="24"/>
      <c r="AB72" s="24"/>
      <c r="AC72" s="24"/>
      <c r="AD72" s="24"/>
      <c r="AE72" s="24"/>
      <c r="AF72" s="24"/>
      <c r="AG72" s="24"/>
      <c r="AH72" s="24"/>
      <c r="AI72" s="24"/>
      <c r="AJ72" s="24"/>
      <c r="AK72" s="24"/>
      <c r="AL72" s="24"/>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row>
    <row r="73" spans="1:114" s="34" customFormat="1" ht="15.75" customHeight="1">
      <c r="A73" s="109">
        <f t="shared" si="12"/>
        <v>53</v>
      </c>
      <c r="B73" s="87">
        <f t="shared" si="12"/>
        <v>7</v>
      </c>
      <c r="C73" s="88" t="s">
        <v>47</v>
      </c>
      <c r="D73" s="89" t="s">
        <v>592</v>
      </c>
      <c r="E73" s="88" t="s">
        <v>425</v>
      </c>
      <c r="F73" s="90">
        <f>6735975+55003</f>
        <v>6790978</v>
      </c>
      <c r="G73" s="91"/>
      <c r="H73" s="92"/>
      <c r="I73" s="101"/>
      <c r="J73" s="22">
        <f t="shared" si="10"/>
        <v>6790978</v>
      </c>
      <c r="K73" s="22">
        <f t="shared" si="11"/>
        <v>0</v>
      </c>
      <c r="L73" s="23"/>
      <c r="M73" s="23"/>
      <c r="N73" s="23"/>
      <c r="O73" s="23"/>
      <c r="P73" s="23"/>
      <c r="Q73" s="23"/>
      <c r="R73" s="23"/>
      <c r="S73" s="23"/>
      <c r="T73" s="23"/>
      <c r="U73" s="23"/>
      <c r="V73" s="24"/>
      <c r="W73" s="24"/>
      <c r="X73" s="24"/>
      <c r="Y73" s="24"/>
      <c r="Z73" s="24"/>
      <c r="AA73" s="24"/>
      <c r="AB73" s="24"/>
      <c r="AC73" s="24"/>
      <c r="AD73" s="24"/>
      <c r="AE73" s="24"/>
      <c r="AF73" s="24"/>
      <c r="AG73" s="24"/>
      <c r="AH73" s="24"/>
      <c r="AI73" s="24"/>
      <c r="AJ73" s="24"/>
      <c r="AK73" s="24"/>
      <c r="AL73" s="24"/>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row>
    <row r="74" spans="1:114" s="34" customFormat="1" ht="15.75" customHeight="1">
      <c r="A74" s="109">
        <f t="shared" si="12"/>
        <v>54</v>
      </c>
      <c r="B74" s="87">
        <f t="shared" si="12"/>
        <v>8</v>
      </c>
      <c r="C74" s="88" t="s">
        <v>48</v>
      </c>
      <c r="D74" s="89" t="s">
        <v>589</v>
      </c>
      <c r="E74" s="88" t="s">
        <v>44</v>
      </c>
      <c r="F74" s="90">
        <v>17498486</v>
      </c>
      <c r="G74" s="91"/>
      <c r="H74" s="92">
        <f>4307797-249374+180000</f>
        <v>4238423</v>
      </c>
      <c r="I74" s="93" t="s">
        <v>498</v>
      </c>
      <c r="J74" s="22">
        <f t="shared" si="10"/>
        <v>17498486</v>
      </c>
      <c r="K74" s="22">
        <f t="shared" si="11"/>
        <v>4238423</v>
      </c>
      <c r="L74" s="23"/>
      <c r="M74" s="23"/>
      <c r="N74" s="23"/>
      <c r="O74" s="23"/>
      <c r="P74" s="23"/>
      <c r="Q74" s="23"/>
      <c r="R74" s="23"/>
      <c r="S74" s="23"/>
      <c r="T74" s="23"/>
      <c r="U74" s="23"/>
      <c r="V74" s="24"/>
      <c r="W74" s="24"/>
      <c r="X74" s="24"/>
      <c r="Y74" s="24"/>
      <c r="Z74" s="24"/>
      <c r="AA74" s="24"/>
      <c r="AB74" s="24"/>
      <c r="AC74" s="24"/>
      <c r="AD74" s="24"/>
      <c r="AE74" s="24"/>
      <c r="AF74" s="24"/>
      <c r="AG74" s="24"/>
      <c r="AH74" s="24"/>
      <c r="AI74" s="24"/>
      <c r="AJ74" s="24"/>
      <c r="AK74" s="24"/>
      <c r="AL74" s="24"/>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row>
    <row r="75" spans="1:114" s="34" customFormat="1" ht="15.75" customHeight="1">
      <c r="A75" s="109">
        <f t="shared" si="12"/>
        <v>55</v>
      </c>
      <c r="B75" s="87">
        <f t="shared" si="12"/>
        <v>9</v>
      </c>
      <c r="C75" s="88" t="s">
        <v>49</v>
      </c>
      <c r="D75" s="89" t="s">
        <v>593</v>
      </c>
      <c r="E75" s="88" t="s">
        <v>472</v>
      </c>
      <c r="F75" s="90">
        <f>255700000</f>
        <v>255700000</v>
      </c>
      <c r="G75" s="91"/>
      <c r="H75" s="92"/>
      <c r="I75" s="93"/>
      <c r="J75" s="22">
        <f t="shared" si="10"/>
        <v>255700000</v>
      </c>
      <c r="K75" s="22">
        <f t="shared" si="11"/>
        <v>0</v>
      </c>
      <c r="L75" s="23"/>
      <c r="M75" s="23"/>
      <c r="N75" s="23"/>
      <c r="O75" s="23"/>
      <c r="P75" s="23"/>
      <c r="Q75" s="23"/>
      <c r="R75" s="23"/>
      <c r="S75" s="23"/>
      <c r="T75" s="23"/>
      <c r="U75" s="23"/>
      <c r="V75" s="24"/>
      <c r="W75" s="24"/>
      <c r="X75" s="24"/>
      <c r="Y75" s="24"/>
      <c r="Z75" s="24"/>
      <c r="AA75" s="24"/>
      <c r="AB75" s="24"/>
      <c r="AC75" s="24"/>
      <c r="AD75" s="24"/>
      <c r="AE75" s="24"/>
      <c r="AF75" s="24"/>
      <c r="AG75" s="24"/>
      <c r="AH75" s="24"/>
      <c r="AI75" s="24"/>
      <c r="AJ75" s="24"/>
      <c r="AK75" s="24"/>
      <c r="AL75" s="24"/>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row>
    <row r="76" spans="1:114" s="34" customFormat="1" ht="15.75" customHeight="1">
      <c r="A76" s="109">
        <f t="shared" si="12"/>
        <v>56</v>
      </c>
      <c r="B76" s="87">
        <f t="shared" si="12"/>
        <v>10</v>
      </c>
      <c r="C76" s="88" t="s">
        <v>50</v>
      </c>
      <c r="D76" s="89" t="s">
        <v>594</v>
      </c>
      <c r="E76" s="88" t="s">
        <v>428</v>
      </c>
      <c r="F76" s="90">
        <v>41814000</v>
      </c>
      <c r="G76" s="91"/>
      <c r="H76" s="92"/>
      <c r="I76" s="93"/>
      <c r="J76" s="22">
        <f t="shared" si="10"/>
        <v>41814000</v>
      </c>
      <c r="K76" s="22">
        <f t="shared" si="11"/>
        <v>0</v>
      </c>
      <c r="L76" s="23"/>
      <c r="M76" s="23"/>
      <c r="N76" s="23"/>
      <c r="O76" s="23"/>
      <c r="P76" s="23"/>
      <c r="Q76" s="23"/>
      <c r="R76" s="23"/>
      <c r="S76" s="23"/>
      <c r="T76" s="23"/>
      <c r="U76" s="23"/>
      <c r="V76" s="24"/>
      <c r="W76" s="24"/>
      <c r="X76" s="24"/>
      <c r="Y76" s="24"/>
      <c r="Z76" s="24"/>
      <c r="AA76" s="24"/>
      <c r="AB76" s="24"/>
      <c r="AC76" s="24"/>
      <c r="AD76" s="24"/>
      <c r="AE76" s="24"/>
      <c r="AF76" s="24"/>
      <c r="AG76" s="24"/>
      <c r="AH76" s="24"/>
      <c r="AI76" s="24"/>
      <c r="AJ76" s="24"/>
      <c r="AK76" s="24"/>
      <c r="AL76" s="24"/>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row>
    <row r="77" spans="1:114" s="34" customFormat="1" ht="15.75" customHeight="1">
      <c r="A77" s="109">
        <f t="shared" si="12"/>
        <v>57</v>
      </c>
      <c r="B77" s="87">
        <f t="shared" si="12"/>
        <v>11</v>
      </c>
      <c r="C77" s="88" t="s">
        <v>51</v>
      </c>
      <c r="D77" s="89" t="s">
        <v>595</v>
      </c>
      <c r="E77" s="88" t="s">
        <v>44</v>
      </c>
      <c r="F77" s="90">
        <f>3333333+255000</f>
        <v>3588333</v>
      </c>
      <c r="G77" s="91"/>
      <c r="H77" s="92">
        <f>2000000+127500</f>
        <v>2127500</v>
      </c>
      <c r="I77" s="93" t="s">
        <v>498</v>
      </c>
      <c r="J77" s="22">
        <f t="shared" si="10"/>
        <v>3588333</v>
      </c>
      <c r="K77" s="22">
        <f t="shared" si="11"/>
        <v>2127500</v>
      </c>
      <c r="L77" s="23"/>
      <c r="M77" s="23"/>
      <c r="N77" s="23"/>
      <c r="O77" s="23"/>
      <c r="P77" s="23"/>
      <c r="Q77" s="23"/>
      <c r="R77" s="23"/>
      <c r="S77" s="23"/>
      <c r="T77" s="23"/>
      <c r="U77" s="23"/>
      <c r="V77" s="24"/>
      <c r="W77" s="24"/>
      <c r="X77" s="24"/>
      <c r="Y77" s="24"/>
      <c r="Z77" s="24"/>
      <c r="AA77" s="24"/>
      <c r="AB77" s="24"/>
      <c r="AC77" s="24"/>
      <c r="AD77" s="24"/>
      <c r="AE77" s="24"/>
      <c r="AF77" s="24"/>
      <c r="AG77" s="24"/>
      <c r="AH77" s="24"/>
      <c r="AI77" s="24"/>
      <c r="AJ77" s="24"/>
      <c r="AK77" s="24"/>
      <c r="AL77" s="24"/>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row>
    <row r="78" spans="1:114" s="34" customFormat="1" ht="15.75" customHeight="1">
      <c r="A78" s="109">
        <f t="shared" si="12"/>
        <v>58</v>
      </c>
      <c r="B78" s="87">
        <f t="shared" si="12"/>
        <v>12</v>
      </c>
      <c r="C78" s="88" t="s">
        <v>51</v>
      </c>
      <c r="D78" s="89" t="s">
        <v>52</v>
      </c>
      <c r="E78" s="88" t="s">
        <v>44</v>
      </c>
      <c r="F78" s="90">
        <f>6140+9122+212500+130000+99800+58000+212000+199000+55200</f>
        <v>981762</v>
      </c>
      <c r="G78" s="91"/>
      <c r="H78" s="92"/>
      <c r="I78" s="93"/>
      <c r="J78" s="22">
        <f t="shared" si="10"/>
        <v>981762</v>
      </c>
      <c r="K78" s="22">
        <f t="shared" si="11"/>
        <v>0</v>
      </c>
      <c r="L78" s="23"/>
      <c r="M78" s="23"/>
      <c r="N78" s="23"/>
      <c r="O78" s="23"/>
      <c r="P78" s="23"/>
      <c r="Q78" s="23"/>
      <c r="R78" s="23"/>
      <c r="S78" s="23"/>
      <c r="T78" s="23"/>
      <c r="U78" s="23"/>
      <c r="V78" s="24"/>
      <c r="W78" s="24"/>
      <c r="X78" s="24"/>
      <c r="Y78" s="24"/>
      <c r="Z78" s="24"/>
      <c r="AA78" s="24"/>
      <c r="AB78" s="24"/>
      <c r="AC78" s="24"/>
      <c r="AD78" s="24"/>
      <c r="AE78" s="24"/>
      <c r="AF78" s="24"/>
      <c r="AG78" s="24"/>
      <c r="AH78" s="24"/>
      <c r="AI78" s="24"/>
      <c r="AJ78" s="24"/>
      <c r="AK78" s="24"/>
      <c r="AL78" s="24"/>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row>
    <row r="79" spans="1:114" s="34" customFormat="1" ht="15.75" customHeight="1">
      <c r="A79" s="109">
        <f t="shared" si="12"/>
        <v>59</v>
      </c>
      <c r="B79" s="87">
        <f t="shared" si="12"/>
        <v>13</v>
      </c>
      <c r="C79" s="88" t="s">
        <v>53</v>
      </c>
      <c r="D79" s="89" t="s">
        <v>591</v>
      </c>
      <c r="E79" s="88" t="s">
        <v>425</v>
      </c>
      <c r="F79" s="90">
        <v>1832895</v>
      </c>
      <c r="G79" s="91"/>
      <c r="H79" s="92"/>
      <c r="I79" s="93"/>
      <c r="J79" s="22">
        <f t="shared" si="10"/>
        <v>1832895</v>
      </c>
      <c r="K79" s="22">
        <f t="shared" si="11"/>
        <v>0</v>
      </c>
      <c r="L79" s="23"/>
      <c r="M79" s="23"/>
      <c r="N79" s="23"/>
      <c r="O79" s="23"/>
      <c r="P79" s="23"/>
      <c r="Q79" s="23"/>
      <c r="R79" s="23"/>
      <c r="S79" s="23"/>
      <c r="T79" s="23"/>
      <c r="U79" s="23"/>
      <c r="V79" s="24"/>
      <c r="W79" s="24"/>
      <c r="X79" s="24"/>
      <c r="Y79" s="24"/>
      <c r="Z79" s="24"/>
      <c r="AA79" s="24"/>
      <c r="AB79" s="24"/>
      <c r="AC79" s="24"/>
      <c r="AD79" s="24"/>
      <c r="AE79" s="24"/>
      <c r="AF79" s="24"/>
      <c r="AG79" s="24"/>
      <c r="AH79" s="24"/>
      <c r="AI79" s="24"/>
      <c r="AJ79" s="24"/>
      <c r="AK79" s="24"/>
      <c r="AL79" s="24"/>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row>
    <row r="80" spans="1:114" s="34" customFormat="1" ht="15.75" customHeight="1">
      <c r="A80" s="109">
        <f t="shared" si="12"/>
        <v>60</v>
      </c>
      <c r="B80" s="87">
        <f t="shared" si="12"/>
        <v>14</v>
      </c>
      <c r="C80" s="88" t="s">
        <v>56</v>
      </c>
      <c r="D80" s="89" t="s">
        <v>596</v>
      </c>
      <c r="E80" s="88" t="s">
        <v>425</v>
      </c>
      <c r="F80" s="90">
        <v>4753928</v>
      </c>
      <c r="G80" s="91"/>
      <c r="H80" s="92"/>
      <c r="I80" s="93"/>
      <c r="J80" s="22">
        <f t="shared" si="10"/>
        <v>4753928</v>
      </c>
      <c r="K80" s="22">
        <f t="shared" si="11"/>
        <v>0</v>
      </c>
      <c r="L80" s="23"/>
      <c r="M80" s="23"/>
      <c r="N80" s="23"/>
      <c r="O80" s="23"/>
      <c r="P80" s="23"/>
      <c r="Q80" s="23"/>
      <c r="R80" s="23"/>
      <c r="S80" s="23"/>
      <c r="T80" s="23"/>
      <c r="U80" s="23"/>
      <c r="V80" s="24"/>
      <c r="W80" s="24"/>
      <c r="X80" s="24"/>
      <c r="Y80" s="24"/>
      <c r="Z80" s="24"/>
      <c r="AA80" s="24"/>
      <c r="AB80" s="24"/>
      <c r="AC80" s="24"/>
      <c r="AD80" s="24"/>
      <c r="AE80" s="24"/>
      <c r="AF80" s="24"/>
      <c r="AG80" s="24"/>
      <c r="AH80" s="24"/>
      <c r="AI80" s="24"/>
      <c r="AJ80" s="24"/>
      <c r="AK80" s="24"/>
      <c r="AL80" s="24"/>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row>
    <row r="81" spans="1:114" s="34" customFormat="1" ht="15.75" customHeight="1">
      <c r="A81" s="109">
        <f t="shared" si="12"/>
        <v>61</v>
      </c>
      <c r="B81" s="87">
        <f t="shared" si="12"/>
        <v>15</v>
      </c>
      <c r="C81" s="88" t="s">
        <v>57</v>
      </c>
      <c r="D81" s="89" t="s">
        <v>597</v>
      </c>
      <c r="E81" s="88" t="s">
        <v>426</v>
      </c>
      <c r="F81" s="90">
        <f>12133632</f>
        <v>12133632</v>
      </c>
      <c r="G81" s="91"/>
      <c r="H81" s="92"/>
      <c r="I81" s="93"/>
      <c r="J81" s="22">
        <f t="shared" si="10"/>
        <v>12133632</v>
      </c>
      <c r="K81" s="22">
        <f t="shared" si="11"/>
        <v>0</v>
      </c>
      <c r="L81" s="23"/>
      <c r="M81" s="23"/>
      <c r="N81" s="23"/>
      <c r="O81" s="23"/>
      <c r="P81" s="23"/>
      <c r="Q81" s="23"/>
      <c r="R81" s="23"/>
      <c r="S81" s="23"/>
      <c r="T81" s="23"/>
      <c r="U81" s="23"/>
      <c r="V81" s="24"/>
      <c r="W81" s="24"/>
      <c r="X81" s="24"/>
      <c r="Y81" s="24"/>
      <c r="Z81" s="24"/>
      <c r="AA81" s="24"/>
      <c r="AB81" s="24"/>
      <c r="AC81" s="24"/>
      <c r="AD81" s="24"/>
      <c r="AE81" s="24"/>
      <c r="AF81" s="24"/>
      <c r="AG81" s="24"/>
      <c r="AH81" s="24"/>
      <c r="AI81" s="24"/>
      <c r="AJ81" s="24"/>
      <c r="AK81" s="24"/>
      <c r="AL81" s="24"/>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J81" s="25"/>
    </row>
    <row r="82" spans="1:114" s="34" customFormat="1" ht="15.75" customHeight="1">
      <c r="A82" s="109">
        <f t="shared" si="12"/>
        <v>62</v>
      </c>
      <c r="B82" s="87">
        <f t="shared" si="12"/>
        <v>16</v>
      </c>
      <c r="C82" s="88" t="s">
        <v>58</v>
      </c>
      <c r="D82" s="89" t="s">
        <v>597</v>
      </c>
      <c r="E82" s="88" t="s">
        <v>426</v>
      </c>
      <c r="F82" s="90">
        <f>82322787.2/2.24+19342619.37</f>
        <v>56093863.65571429</v>
      </c>
      <c r="G82" s="91"/>
      <c r="H82" s="92"/>
      <c r="I82" s="93"/>
      <c r="J82" s="22">
        <f t="shared" si="10"/>
        <v>56093863.65571429</v>
      </c>
      <c r="K82" s="22">
        <f t="shared" si="11"/>
        <v>0</v>
      </c>
      <c r="L82" s="23"/>
      <c r="M82" s="23"/>
      <c r="N82" s="23"/>
      <c r="O82" s="23"/>
      <c r="P82" s="23"/>
      <c r="Q82" s="23"/>
      <c r="R82" s="23"/>
      <c r="S82" s="23"/>
      <c r="T82" s="23"/>
      <c r="U82" s="23"/>
      <c r="V82" s="24"/>
      <c r="W82" s="24"/>
      <c r="X82" s="24"/>
      <c r="Y82" s="24"/>
      <c r="Z82" s="24"/>
      <c r="AA82" s="24"/>
      <c r="AB82" s="24"/>
      <c r="AC82" s="24"/>
      <c r="AD82" s="24"/>
      <c r="AE82" s="24"/>
      <c r="AF82" s="24"/>
      <c r="AG82" s="24"/>
      <c r="AH82" s="24"/>
      <c r="AI82" s="24"/>
      <c r="AJ82" s="24"/>
      <c r="AK82" s="24"/>
      <c r="AL82" s="24"/>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row>
    <row r="83" spans="1:114" s="34" customFormat="1" ht="15.75" customHeight="1">
      <c r="A83" s="109">
        <f t="shared" si="12"/>
        <v>63</v>
      </c>
      <c r="B83" s="87">
        <f t="shared" si="12"/>
        <v>17</v>
      </c>
      <c r="C83" s="88" t="s">
        <v>59</v>
      </c>
      <c r="D83" s="89" t="s">
        <v>60</v>
      </c>
      <c r="E83" s="88" t="s">
        <v>427</v>
      </c>
      <c r="F83" s="90">
        <f>1238489+90520</f>
        <v>1329009</v>
      </c>
      <c r="G83" s="91"/>
      <c r="H83" s="92"/>
      <c r="I83" s="101"/>
      <c r="J83" s="22">
        <f t="shared" si="10"/>
        <v>1329009</v>
      </c>
      <c r="K83" s="22">
        <f t="shared" si="11"/>
        <v>0</v>
      </c>
      <c r="L83" s="23"/>
      <c r="M83" s="23"/>
      <c r="N83" s="23"/>
      <c r="O83" s="23"/>
      <c r="P83" s="23"/>
      <c r="Q83" s="23"/>
      <c r="R83" s="23"/>
      <c r="S83" s="23"/>
      <c r="T83" s="23"/>
      <c r="U83" s="23"/>
      <c r="V83" s="24"/>
      <c r="W83" s="24"/>
      <c r="X83" s="24"/>
      <c r="Y83" s="24"/>
      <c r="Z83" s="24"/>
      <c r="AA83" s="24"/>
      <c r="AB83" s="24"/>
      <c r="AC83" s="24"/>
      <c r="AD83" s="24"/>
      <c r="AE83" s="24"/>
      <c r="AF83" s="24"/>
      <c r="AG83" s="24"/>
      <c r="AH83" s="24"/>
      <c r="AI83" s="24"/>
      <c r="AJ83" s="24"/>
      <c r="AK83" s="24"/>
      <c r="AL83" s="24"/>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J83" s="25"/>
    </row>
    <row r="84" spans="1:114" s="34" customFormat="1" ht="15.75" customHeight="1">
      <c r="A84" s="109">
        <f aca="true" t="shared" si="13" ref="A84:B96">A83+1</f>
        <v>64</v>
      </c>
      <c r="B84" s="87">
        <f t="shared" si="13"/>
        <v>18</v>
      </c>
      <c r="C84" s="88">
        <v>34881</v>
      </c>
      <c r="D84" s="89" t="s">
        <v>598</v>
      </c>
      <c r="E84" s="88" t="s">
        <v>428</v>
      </c>
      <c r="F84" s="90">
        <v>10832874</v>
      </c>
      <c r="G84" s="91"/>
      <c r="H84" s="92"/>
      <c r="I84" s="101"/>
      <c r="J84" s="22">
        <f t="shared" si="10"/>
        <v>10832874</v>
      </c>
      <c r="K84" s="22">
        <f t="shared" si="11"/>
        <v>0</v>
      </c>
      <c r="L84" s="23"/>
      <c r="M84" s="23"/>
      <c r="N84" s="23"/>
      <c r="O84" s="23"/>
      <c r="P84" s="23"/>
      <c r="Q84" s="23"/>
      <c r="R84" s="23"/>
      <c r="S84" s="23"/>
      <c r="T84" s="23"/>
      <c r="U84" s="23"/>
      <c r="V84" s="24"/>
      <c r="W84" s="24"/>
      <c r="X84" s="24"/>
      <c r="Y84" s="24"/>
      <c r="Z84" s="24"/>
      <c r="AA84" s="24"/>
      <c r="AB84" s="24"/>
      <c r="AC84" s="24"/>
      <c r="AD84" s="24"/>
      <c r="AE84" s="24"/>
      <c r="AF84" s="24"/>
      <c r="AG84" s="24"/>
      <c r="AH84" s="24"/>
      <c r="AI84" s="24"/>
      <c r="AJ84" s="24"/>
      <c r="AK84" s="24"/>
      <c r="AL84" s="24"/>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row>
    <row r="85" spans="1:114" s="34" customFormat="1" ht="15.75" customHeight="1">
      <c r="A85" s="109">
        <f t="shared" si="13"/>
        <v>65</v>
      </c>
      <c r="B85" s="87">
        <f t="shared" si="13"/>
        <v>19</v>
      </c>
      <c r="C85" s="88" t="s">
        <v>61</v>
      </c>
      <c r="D85" s="89" t="s">
        <v>599</v>
      </c>
      <c r="E85" s="88" t="s">
        <v>472</v>
      </c>
      <c r="F85" s="90">
        <v>32149258</v>
      </c>
      <c r="G85" s="91"/>
      <c r="H85" s="92"/>
      <c r="I85" s="93"/>
      <c r="J85" s="22">
        <f t="shared" si="10"/>
        <v>32149258</v>
      </c>
      <c r="K85" s="22">
        <f t="shared" si="11"/>
        <v>0</v>
      </c>
      <c r="L85" s="23"/>
      <c r="M85" s="23"/>
      <c r="N85" s="23"/>
      <c r="O85" s="23"/>
      <c r="P85" s="23"/>
      <c r="Q85" s="23"/>
      <c r="R85" s="23"/>
      <c r="S85" s="23"/>
      <c r="T85" s="23"/>
      <c r="U85" s="23"/>
      <c r="V85" s="24"/>
      <c r="W85" s="24"/>
      <c r="X85" s="24"/>
      <c r="Y85" s="24"/>
      <c r="Z85" s="24"/>
      <c r="AA85" s="24"/>
      <c r="AB85" s="24"/>
      <c r="AC85" s="24"/>
      <c r="AD85" s="24"/>
      <c r="AE85" s="24"/>
      <c r="AF85" s="24"/>
      <c r="AG85" s="24"/>
      <c r="AH85" s="24"/>
      <c r="AI85" s="24"/>
      <c r="AJ85" s="24"/>
      <c r="AK85" s="24"/>
      <c r="AL85" s="24"/>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c r="DJ85" s="25"/>
    </row>
    <row r="86" spans="1:114" s="34" customFormat="1" ht="15.75" customHeight="1">
      <c r="A86" s="111">
        <f t="shared" si="13"/>
        <v>66</v>
      </c>
      <c r="B86" s="95">
        <f t="shared" si="13"/>
        <v>20</v>
      </c>
      <c r="C86" s="96" t="s">
        <v>62</v>
      </c>
      <c r="D86" s="97" t="s">
        <v>63</v>
      </c>
      <c r="E86" s="96" t="s">
        <v>472</v>
      </c>
      <c r="F86" s="98">
        <v>4482093</v>
      </c>
      <c r="G86" s="99"/>
      <c r="H86" s="92"/>
      <c r="I86" s="93"/>
      <c r="J86" s="22">
        <f t="shared" si="10"/>
        <v>4482093</v>
      </c>
      <c r="K86" s="22">
        <f t="shared" si="11"/>
        <v>0</v>
      </c>
      <c r="L86" s="23"/>
      <c r="M86" s="23"/>
      <c r="N86" s="23"/>
      <c r="O86" s="23"/>
      <c r="P86" s="23"/>
      <c r="Q86" s="23"/>
      <c r="R86" s="23"/>
      <c r="S86" s="23"/>
      <c r="T86" s="23"/>
      <c r="U86" s="23"/>
      <c r="V86" s="24"/>
      <c r="W86" s="24"/>
      <c r="X86" s="24"/>
      <c r="Y86" s="24"/>
      <c r="Z86" s="24"/>
      <c r="AA86" s="24"/>
      <c r="AB86" s="24"/>
      <c r="AC86" s="24"/>
      <c r="AD86" s="24"/>
      <c r="AE86" s="24"/>
      <c r="AF86" s="24"/>
      <c r="AG86" s="24"/>
      <c r="AH86" s="24"/>
      <c r="AI86" s="24"/>
      <c r="AJ86" s="24"/>
      <c r="AK86" s="24"/>
      <c r="AL86" s="24"/>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row>
    <row r="87" spans="1:114" s="34" customFormat="1" ht="15.75" customHeight="1">
      <c r="A87" s="109">
        <f t="shared" si="13"/>
        <v>67</v>
      </c>
      <c r="B87" s="87">
        <f t="shared" si="13"/>
        <v>21</v>
      </c>
      <c r="C87" s="88" t="s">
        <v>64</v>
      </c>
      <c r="D87" s="89" t="s">
        <v>65</v>
      </c>
      <c r="E87" s="88" t="s">
        <v>426</v>
      </c>
      <c r="F87" s="90">
        <v>3110000</v>
      </c>
      <c r="G87" s="91"/>
      <c r="H87" s="92"/>
      <c r="I87" s="93"/>
      <c r="J87" s="22">
        <f t="shared" si="10"/>
        <v>3110000</v>
      </c>
      <c r="K87" s="22">
        <f t="shared" si="11"/>
        <v>0</v>
      </c>
      <c r="L87" s="23"/>
      <c r="M87" s="23"/>
      <c r="N87" s="23"/>
      <c r="O87" s="23"/>
      <c r="P87" s="23"/>
      <c r="Q87" s="23"/>
      <c r="R87" s="23"/>
      <c r="S87" s="23"/>
      <c r="T87" s="23"/>
      <c r="U87" s="23"/>
      <c r="V87" s="24"/>
      <c r="W87" s="24"/>
      <c r="X87" s="24"/>
      <c r="Y87" s="24"/>
      <c r="Z87" s="24"/>
      <c r="AA87" s="24"/>
      <c r="AB87" s="24"/>
      <c r="AC87" s="24"/>
      <c r="AD87" s="24"/>
      <c r="AE87" s="24"/>
      <c r="AF87" s="24"/>
      <c r="AG87" s="24"/>
      <c r="AH87" s="24"/>
      <c r="AI87" s="24"/>
      <c r="AJ87" s="24"/>
      <c r="AK87" s="24"/>
      <c r="AL87" s="24"/>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row>
    <row r="88" spans="1:114" s="34" customFormat="1" ht="15.75" customHeight="1">
      <c r="A88" s="109">
        <f t="shared" si="13"/>
        <v>68</v>
      </c>
      <c r="B88" s="87">
        <f t="shared" si="13"/>
        <v>22</v>
      </c>
      <c r="C88" s="88" t="s">
        <v>66</v>
      </c>
      <c r="D88" s="89" t="s">
        <v>67</v>
      </c>
      <c r="E88" s="88" t="s">
        <v>425</v>
      </c>
      <c r="F88" s="90">
        <v>5637000</v>
      </c>
      <c r="G88" s="91"/>
      <c r="H88" s="92"/>
      <c r="I88" s="93"/>
      <c r="J88" s="22">
        <f t="shared" si="10"/>
        <v>5637000</v>
      </c>
      <c r="K88" s="22">
        <f t="shared" si="11"/>
        <v>0</v>
      </c>
      <c r="L88" s="23"/>
      <c r="M88" s="23"/>
      <c r="N88" s="23"/>
      <c r="O88" s="23"/>
      <c r="P88" s="23"/>
      <c r="Q88" s="23"/>
      <c r="R88" s="23"/>
      <c r="S88" s="23"/>
      <c r="T88" s="23"/>
      <c r="U88" s="23"/>
      <c r="V88" s="24"/>
      <c r="W88" s="24"/>
      <c r="X88" s="24"/>
      <c r="Y88" s="24"/>
      <c r="Z88" s="24"/>
      <c r="AA88" s="24"/>
      <c r="AB88" s="24"/>
      <c r="AC88" s="24"/>
      <c r="AD88" s="24"/>
      <c r="AE88" s="24"/>
      <c r="AF88" s="24"/>
      <c r="AG88" s="24"/>
      <c r="AH88" s="24"/>
      <c r="AI88" s="24"/>
      <c r="AJ88" s="24"/>
      <c r="AK88" s="24"/>
      <c r="AL88" s="24"/>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row>
    <row r="89" spans="1:114" s="34" customFormat="1" ht="15.75" customHeight="1">
      <c r="A89" s="109">
        <f t="shared" si="13"/>
        <v>69</v>
      </c>
      <c r="B89" s="87">
        <f t="shared" si="13"/>
        <v>23</v>
      </c>
      <c r="C89" s="88" t="s">
        <v>68</v>
      </c>
      <c r="D89" s="89" t="s">
        <v>69</v>
      </c>
      <c r="E89" s="88" t="s">
        <v>426</v>
      </c>
      <c r="F89" s="90">
        <f>20140+10000+15822+250138.2+1250412</f>
        <v>1546512.2</v>
      </c>
      <c r="G89" s="91"/>
      <c r="H89" s="92"/>
      <c r="I89" s="93"/>
      <c r="J89" s="22">
        <f t="shared" si="10"/>
        <v>1546512.2</v>
      </c>
      <c r="K89" s="22">
        <f t="shared" si="11"/>
        <v>0</v>
      </c>
      <c r="L89" s="23"/>
      <c r="M89" s="23"/>
      <c r="N89" s="23"/>
      <c r="O89" s="23"/>
      <c r="P89" s="23"/>
      <c r="Q89" s="23"/>
      <c r="R89" s="23"/>
      <c r="S89" s="23"/>
      <c r="T89" s="23"/>
      <c r="U89" s="23"/>
      <c r="V89" s="24"/>
      <c r="W89" s="24"/>
      <c r="X89" s="24"/>
      <c r="Y89" s="24"/>
      <c r="Z89" s="24"/>
      <c r="AA89" s="24"/>
      <c r="AB89" s="24"/>
      <c r="AC89" s="24"/>
      <c r="AD89" s="24"/>
      <c r="AE89" s="24"/>
      <c r="AF89" s="24"/>
      <c r="AG89" s="24"/>
      <c r="AH89" s="24"/>
      <c r="AI89" s="24"/>
      <c r="AJ89" s="24"/>
      <c r="AK89" s="24"/>
      <c r="AL89" s="24"/>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row>
    <row r="90" spans="1:114" s="34" customFormat="1" ht="15.75" customHeight="1">
      <c r="A90" s="109">
        <f t="shared" si="13"/>
        <v>70</v>
      </c>
      <c r="B90" s="87">
        <f t="shared" si="13"/>
        <v>24</v>
      </c>
      <c r="C90" s="88" t="s">
        <v>70</v>
      </c>
      <c r="D90" s="89" t="s">
        <v>600</v>
      </c>
      <c r="E90" s="88" t="s">
        <v>428</v>
      </c>
      <c r="F90" s="90">
        <v>524452309</v>
      </c>
      <c r="G90" s="91"/>
      <c r="H90" s="92">
        <v>42000000</v>
      </c>
      <c r="I90" s="93" t="s">
        <v>498</v>
      </c>
      <c r="J90" s="22">
        <f t="shared" si="10"/>
        <v>524452309</v>
      </c>
      <c r="K90" s="22">
        <f t="shared" si="11"/>
        <v>42000000</v>
      </c>
      <c r="L90" s="23"/>
      <c r="M90" s="23"/>
      <c r="N90" s="23"/>
      <c r="O90" s="23"/>
      <c r="P90" s="23"/>
      <c r="Q90" s="23"/>
      <c r="R90" s="23"/>
      <c r="S90" s="23"/>
      <c r="T90" s="23"/>
      <c r="U90" s="23"/>
      <c r="V90" s="24"/>
      <c r="W90" s="24"/>
      <c r="X90" s="24"/>
      <c r="Y90" s="24"/>
      <c r="Z90" s="24"/>
      <c r="AA90" s="24"/>
      <c r="AB90" s="24"/>
      <c r="AC90" s="24"/>
      <c r="AD90" s="24"/>
      <c r="AE90" s="24"/>
      <c r="AF90" s="24"/>
      <c r="AG90" s="24"/>
      <c r="AH90" s="24"/>
      <c r="AI90" s="24"/>
      <c r="AJ90" s="24"/>
      <c r="AK90" s="24"/>
      <c r="AL90" s="24"/>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row>
    <row r="91" spans="1:114" s="34" customFormat="1" ht="15.75" customHeight="1">
      <c r="A91" s="109">
        <f t="shared" si="13"/>
        <v>71</v>
      </c>
      <c r="B91" s="87">
        <f t="shared" si="13"/>
        <v>25</v>
      </c>
      <c r="C91" s="88" t="s">
        <v>71</v>
      </c>
      <c r="D91" s="89" t="s">
        <v>72</v>
      </c>
      <c r="E91" s="88" t="s">
        <v>429</v>
      </c>
      <c r="F91" s="90">
        <f>70000+176200</f>
        <v>246200</v>
      </c>
      <c r="G91" s="91"/>
      <c r="H91" s="92"/>
      <c r="I91" s="93"/>
      <c r="J91" s="22">
        <f t="shared" si="10"/>
        <v>246200</v>
      </c>
      <c r="K91" s="22">
        <f t="shared" si="11"/>
        <v>0</v>
      </c>
      <c r="L91" s="23"/>
      <c r="M91" s="23"/>
      <c r="N91" s="23"/>
      <c r="O91" s="23"/>
      <c r="P91" s="23"/>
      <c r="Q91" s="23"/>
      <c r="R91" s="23"/>
      <c r="S91" s="23"/>
      <c r="T91" s="23"/>
      <c r="U91" s="23"/>
      <c r="V91" s="24"/>
      <c r="W91" s="24"/>
      <c r="X91" s="24"/>
      <c r="Y91" s="24"/>
      <c r="Z91" s="24"/>
      <c r="AA91" s="24"/>
      <c r="AB91" s="24"/>
      <c r="AC91" s="24"/>
      <c r="AD91" s="24"/>
      <c r="AE91" s="24"/>
      <c r="AF91" s="24"/>
      <c r="AG91" s="24"/>
      <c r="AH91" s="24"/>
      <c r="AI91" s="24"/>
      <c r="AJ91" s="24"/>
      <c r="AK91" s="24"/>
      <c r="AL91" s="24"/>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row>
    <row r="92" spans="1:114" s="34" customFormat="1" ht="15.75" customHeight="1">
      <c r="A92" s="109">
        <f t="shared" si="13"/>
        <v>72</v>
      </c>
      <c r="B92" s="87">
        <f t="shared" si="13"/>
        <v>26</v>
      </c>
      <c r="C92" s="88" t="s">
        <v>73</v>
      </c>
      <c r="D92" s="89" t="s">
        <v>601</v>
      </c>
      <c r="E92" s="88" t="s">
        <v>426</v>
      </c>
      <c r="F92" s="90">
        <v>33321000</v>
      </c>
      <c r="G92" s="91"/>
      <c r="H92" s="92">
        <v>5000000</v>
      </c>
      <c r="I92" s="93" t="s">
        <v>74</v>
      </c>
      <c r="J92" s="22">
        <f t="shared" si="10"/>
        <v>33321000</v>
      </c>
      <c r="K92" s="22">
        <f t="shared" si="11"/>
        <v>5000000</v>
      </c>
      <c r="L92" s="23"/>
      <c r="M92" s="23"/>
      <c r="N92" s="23"/>
      <c r="O92" s="23"/>
      <c r="P92" s="23"/>
      <c r="Q92" s="23"/>
      <c r="R92" s="23"/>
      <c r="S92" s="23"/>
      <c r="T92" s="23"/>
      <c r="U92" s="23"/>
      <c r="V92" s="24"/>
      <c r="W92" s="24"/>
      <c r="X92" s="24"/>
      <c r="Y92" s="24"/>
      <c r="Z92" s="24"/>
      <c r="AA92" s="24"/>
      <c r="AB92" s="24"/>
      <c r="AC92" s="24"/>
      <c r="AD92" s="24"/>
      <c r="AE92" s="24"/>
      <c r="AF92" s="24"/>
      <c r="AG92" s="24"/>
      <c r="AH92" s="24"/>
      <c r="AI92" s="24"/>
      <c r="AJ92" s="24"/>
      <c r="AK92" s="24"/>
      <c r="AL92" s="24"/>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row>
    <row r="93" spans="1:114" s="34" customFormat="1" ht="15.75" customHeight="1">
      <c r="A93" s="109">
        <f t="shared" si="13"/>
        <v>73</v>
      </c>
      <c r="B93" s="87">
        <f t="shared" si="13"/>
        <v>27</v>
      </c>
      <c r="C93" s="88" t="s">
        <v>75</v>
      </c>
      <c r="D93" s="89" t="s">
        <v>602</v>
      </c>
      <c r="E93" s="88" t="s">
        <v>425</v>
      </c>
      <c r="F93" s="90">
        <v>381000</v>
      </c>
      <c r="G93" s="91"/>
      <c r="H93" s="92"/>
      <c r="I93" s="101"/>
      <c r="J93" s="22">
        <f t="shared" si="10"/>
        <v>381000</v>
      </c>
      <c r="K93" s="22">
        <f t="shared" si="11"/>
        <v>0</v>
      </c>
      <c r="L93" s="23"/>
      <c r="M93" s="23"/>
      <c r="N93" s="23"/>
      <c r="O93" s="23"/>
      <c r="P93" s="23"/>
      <c r="Q93" s="23"/>
      <c r="R93" s="23"/>
      <c r="S93" s="23"/>
      <c r="T93" s="23"/>
      <c r="U93" s="23"/>
      <c r="V93" s="24"/>
      <c r="W93" s="24"/>
      <c r="X93" s="24"/>
      <c r="Y93" s="24"/>
      <c r="Z93" s="24"/>
      <c r="AA93" s="24"/>
      <c r="AB93" s="24"/>
      <c r="AC93" s="24"/>
      <c r="AD93" s="24"/>
      <c r="AE93" s="24"/>
      <c r="AF93" s="24"/>
      <c r="AG93" s="24"/>
      <c r="AH93" s="24"/>
      <c r="AI93" s="24"/>
      <c r="AJ93" s="24"/>
      <c r="AK93" s="24"/>
      <c r="AL93" s="24"/>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row>
    <row r="94" spans="1:114" s="34" customFormat="1" ht="15.75" customHeight="1">
      <c r="A94" s="109">
        <f t="shared" si="13"/>
        <v>74</v>
      </c>
      <c r="B94" s="87">
        <f t="shared" si="13"/>
        <v>28</v>
      </c>
      <c r="C94" s="88" t="s">
        <v>76</v>
      </c>
      <c r="D94" s="89" t="s">
        <v>78</v>
      </c>
      <c r="E94" s="88" t="s">
        <v>425</v>
      </c>
      <c r="F94" s="90">
        <v>1211000</v>
      </c>
      <c r="G94" s="91"/>
      <c r="H94" s="92"/>
      <c r="I94" s="93"/>
      <c r="J94" s="22">
        <f t="shared" si="10"/>
        <v>1211000</v>
      </c>
      <c r="K94" s="22">
        <f t="shared" si="11"/>
        <v>0</v>
      </c>
      <c r="L94" s="23"/>
      <c r="M94" s="23"/>
      <c r="N94" s="23"/>
      <c r="O94" s="23"/>
      <c r="P94" s="23"/>
      <c r="Q94" s="23"/>
      <c r="R94" s="23"/>
      <c r="S94" s="23"/>
      <c r="T94" s="23"/>
      <c r="U94" s="23"/>
      <c r="V94" s="24"/>
      <c r="W94" s="24"/>
      <c r="X94" s="24"/>
      <c r="Y94" s="24"/>
      <c r="Z94" s="24"/>
      <c r="AA94" s="24"/>
      <c r="AB94" s="24"/>
      <c r="AC94" s="24"/>
      <c r="AD94" s="24"/>
      <c r="AE94" s="24"/>
      <c r="AF94" s="24"/>
      <c r="AG94" s="24"/>
      <c r="AH94" s="24"/>
      <c r="AI94" s="24"/>
      <c r="AJ94" s="24"/>
      <c r="AK94" s="24"/>
      <c r="AL94" s="24"/>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row>
    <row r="95" spans="1:114" s="34" customFormat="1" ht="15.75" customHeight="1">
      <c r="A95" s="109">
        <f t="shared" si="13"/>
        <v>75</v>
      </c>
      <c r="B95" s="87">
        <f t="shared" si="13"/>
        <v>29</v>
      </c>
      <c r="C95" s="110" t="s">
        <v>79</v>
      </c>
      <c r="D95" s="89" t="s">
        <v>603</v>
      </c>
      <c r="E95" s="88" t="s">
        <v>425</v>
      </c>
      <c r="F95" s="90">
        <v>325550</v>
      </c>
      <c r="G95" s="91"/>
      <c r="H95" s="92"/>
      <c r="I95" s="93"/>
      <c r="J95" s="22">
        <f t="shared" si="10"/>
        <v>325550</v>
      </c>
      <c r="K95" s="22">
        <f t="shared" si="11"/>
        <v>0</v>
      </c>
      <c r="L95" s="23"/>
      <c r="M95" s="23"/>
      <c r="N95" s="23"/>
      <c r="O95" s="23"/>
      <c r="P95" s="23"/>
      <c r="Q95" s="23"/>
      <c r="R95" s="23"/>
      <c r="S95" s="23"/>
      <c r="T95" s="23"/>
      <c r="U95" s="23"/>
      <c r="V95" s="24"/>
      <c r="W95" s="24"/>
      <c r="X95" s="24"/>
      <c r="Y95" s="24"/>
      <c r="Z95" s="24"/>
      <c r="AA95" s="24"/>
      <c r="AB95" s="24"/>
      <c r="AC95" s="24"/>
      <c r="AD95" s="24"/>
      <c r="AE95" s="24"/>
      <c r="AF95" s="24"/>
      <c r="AG95" s="24"/>
      <c r="AH95" s="24"/>
      <c r="AI95" s="24"/>
      <c r="AJ95" s="24"/>
      <c r="AK95" s="24"/>
      <c r="AL95" s="24"/>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row>
    <row r="96" spans="1:114" s="34" customFormat="1" ht="15.75" customHeight="1">
      <c r="A96" s="112">
        <f t="shared" si="13"/>
        <v>76</v>
      </c>
      <c r="B96" s="113">
        <f t="shared" si="13"/>
        <v>30</v>
      </c>
      <c r="C96" s="114" t="s">
        <v>80</v>
      </c>
      <c r="D96" s="115" t="s">
        <v>604</v>
      </c>
      <c r="E96" s="114" t="s">
        <v>428</v>
      </c>
      <c r="F96" s="116">
        <v>10355193</v>
      </c>
      <c r="G96" s="117"/>
      <c r="H96" s="118"/>
      <c r="I96" s="119"/>
      <c r="J96" s="22">
        <f t="shared" si="10"/>
        <v>10355193</v>
      </c>
      <c r="K96" s="22">
        <f t="shared" si="11"/>
        <v>0</v>
      </c>
      <c r="L96" s="23"/>
      <c r="M96" s="23"/>
      <c r="N96" s="23"/>
      <c r="O96" s="23"/>
      <c r="P96" s="23"/>
      <c r="Q96" s="23"/>
      <c r="R96" s="23"/>
      <c r="S96" s="23"/>
      <c r="T96" s="23"/>
      <c r="U96" s="23"/>
      <c r="V96" s="24"/>
      <c r="W96" s="24"/>
      <c r="X96" s="24"/>
      <c r="Y96" s="24"/>
      <c r="Z96" s="24"/>
      <c r="AA96" s="24"/>
      <c r="AB96" s="24"/>
      <c r="AC96" s="24"/>
      <c r="AD96" s="24"/>
      <c r="AE96" s="24"/>
      <c r="AF96" s="24"/>
      <c r="AG96" s="24"/>
      <c r="AH96" s="24"/>
      <c r="AI96" s="24"/>
      <c r="AJ96" s="24"/>
      <c r="AK96" s="24"/>
      <c r="AL96" s="24"/>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row>
    <row r="97" spans="1:114" s="26" customFormat="1" ht="15.75" customHeight="1">
      <c r="A97" s="167" t="s">
        <v>81</v>
      </c>
      <c r="B97" s="168"/>
      <c r="C97" s="168"/>
      <c r="D97" s="168"/>
      <c r="E97" s="18"/>
      <c r="F97" s="19">
        <f>SUM(F67:F96)</f>
        <v>1089010528.8557143</v>
      </c>
      <c r="G97" s="19"/>
      <c r="H97" s="20">
        <f>SUM(H67:H96)</f>
        <v>63272346</v>
      </c>
      <c r="I97" s="21"/>
      <c r="J97" s="22"/>
      <c r="K97" s="33"/>
      <c r="L97" s="23"/>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row>
    <row r="98" spans="1:114" s="34" customFormat="1" ht="15.75" customHeight="1">
      <c r="A98" s="170">
        <v>1996</v>
      </c>
      <c r="B98" s="171"/>
      <c r="C98" s="171"/>
      <c r="D98" s="171"/>
      <c r="E98" s="171"/>
      <c r="F98" s="171"/>
      <c r="G98" s="171"/>
      <c r="H98" s="171"/>
      <c r="I98" s="172"/>
      <c r="J98" s="22">
        <f aca="true" t="shared" si="14" ref="J98:J135">+F98</f>
        <v>0</v>
      </c>
      <c r="K98" s="22">
        <f aca="true" t="shared" si="15" ref="K98:K135">+H98</f>
        <v>0</v>
      </c>
      <c r="L98" s="23"/>
      <c r="M98" s="23"/>
      <c r="N98" s="23"/>
      <c r="O98" s="23"/>
      <c r="P98" s="23"/>
      <c r="Q98" s="23"/>
      <c r="R98" s="23"/>
      <c r="S98" s="23"/>
      <c r="T98" s="23"/>
      <c r="U98" s="23"/>
      <c r="V98" s="24"/>
      <c r="W98" s="24"/>
      <c r="X98" s="24"/>
      <c r="Y98" s="24"/>
      <c r="Z98" s="24"/>
      <c r="AA98" s="24"/>
      <c r="AB98" s="24"/>
      <c r="AC98" s="24"/>
      <c r="AD98" s="24"/>
      <c r="AE98" s="24"/>
      <c r="AF98" s="24"/>
      <c r="AG98" s="24"/>
      <c r="AH98" s="24"/>
      <c r="AI98" s="24"/>
      <c r="AJ98" s="24"/>
      <c r="AK98" s="24"/>
      <c r="AL98" s="24"/>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row>
    <row r="99" spans="1:114" s="34" customFormat="1" ht="15.75" customHeight="1">
      <c r="A99" s="61">
        <f>A96+1</f>
        <v>77</v>
      </c>
      <c r="B99" s="62">
        <v>1</v>
      </c>
      <c r="C99" s="63" t="s">
        <v>82</v>
      </c>
      <c r="D99" s="64" t="s">
        <v>84</v>
      </c>
      <c r="E99" s="63" t="s">
        <v>427</v>
      </c>
      <c r="F99" s="84">
        <v>211500</v>
      </c>
      <c r="G99" s="85"/>
      <c r="H99" s="65"/>
      <c r="I99" s="67"/>
      <c r="J99" s="22">
        <f t="shared" si="14"/>
        <v>211500</v>
      </c>
      <c r="K99" s="22">
        <f t="shared" si="15"/>
        <v>0</v>
      </c>
      <c r="L99" s="23"/>
      <c r="M99" s="23"/>
      <c r="N99" s="23"/>
      <c r="O99" s="23"/>
      <c r="P99" s="23"/>
      <c r="Q99" s="23"/>
      <c r="R99" s="23"/>
      <c r="S99" s="23"/>
      <c r="T99" s="23"/>
      <c r="U99" s="23"/>
      <c r="V99" s="24"/>
      <c r="W99" s="24"/>
      <c r="X99" s="24"/>
      <c r="Y99" s="24"/>
      <c r="Z99" s="24"/>
      <c r="AA99" s="24"/>
      <c r="AB99" s="24"/>
      <c r="AC99" s="24"/>
      <c r="AD99" s="24"/>
      <c r="AE99" s="24"/>
      <c r="AF99" s="24"/>
      <c r="AG99" s="24"/>
      <c r="AH99" s="24"/>
      <c r="AI99" s="24"/>
      <c r="AJ99" s="24"/>
      <c r="AK99" s="24"/>
      <c r="AL99" s="24"/>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row>
    <row r="100" spans="1:114" s="34" customFormat="1" ht="15.75" customHeight="1">
      <c r="A100" s="109">
        <f aca="true" t="shared" si="16" ref="A100:B115">A99+1</f>
        <v>78</v>
      </c>
      <c r="B100" s="87">
        <f t="shared" si="16"/>
        <v>2</v>
      </c>
      <c r="C100" s="88" t="s">
        <v>85</v>
      </c>
      <c r="D100" s="89" t="s">
        <v>605</v>
      </c>
      <c r="E100" s="88" t="s">
        <v>426</v>
      </c>
      <c r="F100" s="90">
        <f>20168515+140921864+25079939</f>
        <v>186170318</v>
      </c>
      <c r="G100" s="91"/>
      <c r="H100" s="92">
        <v>30000000</v>
      </c>
      <c r="I100" s="93" t="s">
        <v>498</v>
      </c>
      <c r="J100" s="22">
        <f t="shared" si="14"/>
        <v>186170318</v>
      </c>
      <c r="K100" s="22">
        <f t="shared" si="15"/>
        <v>30000000</v>
      </c>
      <c r="L100" s="23"/>
      <c r="M100" s="23"/>
      <c r="N100" s="23"/>
      <c r="O100" s="23"/>
      <c r="P100" s="23"/>
      <c r="Q100" s="23"/>
      <c r="R100" s="23"/>
      <c r="S100" s="23"/>
      <c r="T100" s="23"/>
      <c r="U100" s="23"/>
      <c r="V100" s="24"/>
      <c r="W100" s="24"/>
      <c r="X100" s="24"/>
      <c r="Y100" s="24"/>
      <c r="Z100" s="24"/>
      <c r="AA100" s="24"/>
      <c r="AB100" s="24"/>
      <c r="AC100" s="24"/>
      <c r="AD100" s="24"/>
      <c r="AE100" s="24"/>
      <c r="AF100" s="24"/>
      <c r="AG100" s="24"/>
      <c r="AH100" s="24"/>
      <c r="AI100" s="24"/>
      <c r="AJ100" s="24"/>
      <c r="AK100" s="24"/>
      <c r="AL100" s="24"/>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row>
    <row r="101" spans="1:114" s="34" customFormat="1" ht="15.75" customHeight="1">
      <c r="A101" s="109">
        <f t="shared" si="16"/>
        <v>79</v>
      </c>
      <c r="B101" s="87">
        <f t="shared" si="16"/>
        <v>3</v>
      </c>
      <c r="C101" s="88">
        <v>35125</v>
      </c>
      <c r="D101" s="89" t="s">
        <v>606</v>
      </c>
      <c r="E101" s="88" t="s">
        <v>426</v>
      </c>
      <c r="F101" s="90">
        <f>1010413+1615881</f>
        <v>2626294</v>
      </c>
      <c r="G101" s="91"/>
      <c r="H101" s="92"/>
      <c r="I101" s="93"/>
      <c r="J101" s="22">
        <f t="shared" si="14"/>
        <v>2626294</v>
      </c>
      <c r="K101" s="22">
        <f t="shared" si="15"/>
        <v>0</v>
      </c>
      <c r="L101" s="23"/>
      <c r="M101" s="23"/>
      <c r="N101" s="23"/>
      <c r="O101" s="23"/>
      <c r="P101" s="23"/>
      <c r="Q101" s="23"/>
      <c r="R101" s="23"/>
      <c r="S101" s="23"/>
      <c r="T101" s="23"/>
      <c r="U101" s="23"/>
      <c r="V101" s="24"/>
      <c r="W101" s="24"/>
      <c r="X101" s="24"/>
      <c r="Y101" s="24"/>
      <c r="Z101" s="24"/>
      <c r="AA101" s="24"/>
      <c r="AB101" s="24"/>
      <c r="AC101" s="24"/>
      <c r="AD101" s="24"/>
      <c r="AE101" s="24"/>
      <c r="AF101" s="24"/>
      <c r="AG101" s="24"/>
      <c r="AH101" s="24"/>
      <c r="AI101" s="24"/>
      <c r="AJ101" s="24"/>
      <c r="AK101" s="24"/>
      <c r="AL101" s="24"/>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row>
    <row r="102" spans="1:114" s="34" customFormat="1" ht="15.75" customHeight="1">
      <c r="A102" s="109">
        <f t="shared" si="16"/>
        <v>80</v>
      </c>
      <c r="B102" s="87">
        <f t="shared" si="16"/>
        <v>4</v>
      </c>
      <c r="C102" s="88" t="s">
        <v>86</v>
      </c>
      <c r="D102" s="89" t="s">
        <v>607</v>
      </c>
      <c r="E102" s="88" t="s">
        <v>425</v>
      </c>
      <c r="F102" s="90">
        <v>930000</v>
      </c>
      <c r="G102" s="91"/>
      <c r="H102" s="92"/>
      <c r="I102" s="101"/>
      <c r="J102" s="22">
        <f t="shared" si="14"/>
        <v>930000</v>
      </c>
      <c r="K102" s="22">
        <f t="shared" si="15"/>
        <v>0</v>
      </c>
      <c r="L102" s="23"/>
      <c r="M102" s="23"/>
      <c r="N102" s="23"/>
      <c r="O102" s="23"/>
      <c r="P102" s="23"/>
      <c r="Q102" s="23"/>
      <c r="R102" s="23"/>
      <c r="S102" s="23"/>
      <c r="T102" s="23"/>
      <c r="U102" s="23"/>
      <c r="V102" s="24"/>
      <c r="W102" s="24"/>
      <c r="X102" s="24"/>
      <c r="Y102" s="24"/>
      <c r="Z102" s="24"/>
      <c r="AA102" s="24"/>
      <c r="AB102" s="24"/>
      <c r="AC102" s="24"/>
      <c r="AD102" s="24"/>
      <c r="AE102" s="24"/>
      <c r="AF102" s="24"/>
      <c r="AG102" s="24"/>
      <c r="AH102" s="24"/>
      <c r="AI102" s="24"/>
      <c r="AJ102" s="24"/>
      <c r="AK102" s="24"/>
      <c r="AL102" s="24"/>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row>
    <row r="103" spans="1:114" s="34" customFormat="1" ht="15.75" customHeight="1">
      <c r="A103" s="109">
        <f t="shared" si="16"/>
        <v>81</v>
      </c>
      <c r="B103" s="87">
        <f t="shared" si="16"/>
        <v>5</v>
      </c>
      <c r="C103" s="88">
        <v>35156</v>
      </c>
      <c r="D103" s="89" t="s">
        <v>87</v>
      </c>
      <c r="E103" s="88" t="s">
        <v>428</v>
      </c>
      <c r="F103" s="90">
        <f>287208.93/2.35</f>
        <v>122216.5659574468</v>
      </c>
      <c r="G103" s="91"/>
      <c r="H103" s="92"/>
      <c r="I103" s="93"/>
      <c r="J103" s="22">
        <f t="shared" si="14"/>
        <v>122216.5659574468</v>
      </c>
      <c r="K103" s="22">
        <f t="shared" si="15"/>
        <v>0</v>
      </c>
      <c r="L103" s="23"/>
      <c r="M103" s="23"/>
      <c r="N103" s="23"/>
      <c r="O103" s="23"/>
      <c r="P103" s="23"/>
      <c r="Q103" s="23"/>
      <c r="R103" s="23"/>
      <c r="S103" s="23"/>
      <c r="T103" s="23"/>
      <c r="U103" s="23"/>
      <c r="V103" s="24"/>
      <c r="W103" s="24"/>
      <c r="X103" s="24"/>
      <c r="Y103" s="24"/>
      <c r="Z103" s="24"/>
      <c r="AA103" s="24"/>
      <c r="AB103" s="24"/>
      <c r="AC103" s="24"/>
      <c r="AD103" s="24"/>
      <c r="AE103" s="24"/>
      <c r="AF103" s="24"/>
      <c r="AG103" s="24"/>
      <c r="AH103" s="24"/>
      <c r="AI103" s="24"/>
      <c r="AJ103" s="24"/>
      <c r="AK103" s="24"/>
      <c r="AL103" s="24"/>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row>
    <row r="104" spans="1:114" s="34" customFormat="1" ht="15.75" customHeight="1">
      <c r="A104" s="109">
        <f t="shared" si="16"/>
        <v>82</v>
      </c>
      <c r="B104" s="87">
        <f t="shared" si="16"/>
        <v>6</v>
      </c>
      <c r="C104" s="110" t="s">
        <v>88</v>
      </c>
      <c r="D104" s="89" t="s">
        <v>89</v>
      </c>
      <c r="E104" s="88" t="s">
        <v>426</v>
      </c>
      <c r="F104" s="90">
        <v>16130000</v>
      </c>
      <c r="G104" s="91"/>
      <c r="H104" s="92"/>
      <c r="I104" s="93"/>
      <c r="J104" s="22">
        <f t="shared" si="14"/>
        <v>16130000</v>
      </c>
      <c r="K104" s="22">
        <f t="shared" si="15"/>
        <v>0</v>
      </c>
      <c r="L104" s="23"/>
      <c r="M104" s="23"/>
      <c r="N104" s="23"/>
      <c r="O104" s="23"/>
      <c r="P104" s="23"/>
      <c r="Q104" s="23"/>
      <c r="R104" s="23"/>
      <c r="S104" s="23"/>
      <c r="T104" s="23"/>
      <c r="U104" s="23"/>
      <c r="V104" s="24"/>
      <c r="W104" s="24"/>
      <c r="X104" s="24"/>
      <c r="Y104" s="24"/>
      <c r="Z104" s="24"/>
      <c r="AA104" s="24"/>
      <c r="AB104" s="24"/>
      <c r="AC104" s="24"/>
      <c r="AD104" s="24"/>
      <c r="AE104" s="24"/>
      <c r="AF104" s="24"/>
      <c r="AG104" s="24"/>
      <c r="AH104" s="24"/>
      <c r="AI104" s="24"/>
      <c r="AJ104" s="24"/>
      <c r="AK104" s="24"/>
      <c r="AL104" s="24"/>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row>
    <row r="105" spans="1:114" s="34" customFormat="1" ht="15.75" customHeight="1">
      <c r="A105" s="109">
        <f t="shared" si="16"/>
        <v>83</v>
      </c>
      <c r="B105" s="87">
        <f t="shared" si="16"/>
        <v>7</v>
      </c>
      <c r="C105" s="88" t="s">
        <v>90</v>
      </c>
      <c r="D105" s="89" t="s">
        <v>91</v>
      </c>
      <c r="E105" s="88" t="s">
        <v>425</v>
      </c>
      <c r="F105" s="90">
        <v>134000</v>
      </c>
      <c r="G105" s="91"/>
      <c r="H105" s="92"/>
      <c r="I105" s="101"/>
      <c r="J105" s="22">
        <f t="shared" si="14"/>
        <v>134000</v>
      </c>
      <c r="K105" s="22">
        <f t="shared" si="15"/>
        <v>0</v>
      </c>
      <c r="L105" s="23"/>
      <c r="M105" s="23"/>
      <c r="N105" s="23"/>
      <c r="O105" s="23"/>
      <c r="P105" s="23"/>
      <c r="Q105" s="23"/>
      <c r="R105" s="23"/>
      <c r="S105" s="23"/>
      <c r="T105" s="23"/>
      <c r="U105" s="23"/>
      <c r="V105" s="24"/>
      <c r="W105" s="24"/>
      <c r="X105" s="24"/>
      <c r="Y105" s="24"/>
      <c r="Z105" s="24"/>
      <c r="AA105" s="24"/>
      <c r="AB105" s="24"/>
      <c r="AC105" s="24"/>
      <c r="AD105" s="24"/>
      <c r="AE105" s="24"/>
      <c r="AF105" s="24"/>
      <c r="AG105" s="24"/>
      <c r="AH105" s="24"/>
      <c r="AI105" s="24"/>
      <c r="AJ105" s="24"/>
      <c r="AK105" s="24"/>
      <c r="AL105" s="24"/>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row>
    <row r="106" spans="1:114" s="26" customFormat="1" ht="15.75" customHeight="1">
      <c r="A106" s="109">
        <f t="shared" si="16"/>
        <v>84</v>
      </c>
      <c r="B106" s="87">
        <f t="shared" si="16"/>
        <v>8</v>
      </c>
      <c r="C106" s="88" t="s">
        <v>92</v>
      </c>
      <c r="D106" s="89" t="s">
        <v>608</v>
      </c>
      <c r="E106" s="88" t="s">
        <v>424</v>
      </c>
      <c r="F106" s="90">
        <v>180500000</v>
      </c>
      <c r="G106" s="91"/>
      <c r="H106" s="92">
        <v>50000000</v>
      </c>
      <c r="I106" s="93" t="s">
        <v>498</v>
      </c>
      <c r="J106" s="22">
        <f t="shared" si="14"/>
        <v>180500000</v>
      </c>
      <c r="K106" s="22">
        <f t="shared" si="15"/>
        <v>50000000</v>
      </c>
      <c r="L106" s="23"/>
      <c r="M106" s="23"/>
      <c r="N106" s="23"/>
      <c r="O106" s="23"/>
      <c r="P106" s="23"/>
      <c r="Q106" s="23"/>
      <c r="R106" s="23"/>
      <c r="S106" s="23"/>
      <c r="T106" s="23"/>
      <c r="U106" s="23"/>
      <c r="V106" s="24"/>
      <c r="W106" s="24"/>
      <c r="X106" s="24"/>
      <c r="Y106" s="24"/>
      <c r="Z106" s="24"/>
      <c r="AA106" s="24"/>
      <c r="AB106" s="24"/>
      <c r="AC106" s="24"/>
      <c r="AD106" s="24"/>
      <c r="AE106" s="24"/>
      <c r="AF106" s="24"/>
      <c r="AG106" s="24"/>
      <c r="AH106" s="24"/>
      <c r="AI106" s="24"/>
      <c r="AJ106" s="24"/>
      <c r="AK106" s="24"/>
      <c r="AL106" s="24"/>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row>
    <row r="107" spans="1:114" s="26" customFormat="1" ht="15.75" customHeight="1">
      <c r="A107" s="109">
        <f t="shared" si="16"/>
        <v>85</v>
      </c>
      <c r="B107" s="87">
        <f t="shared" si="16"/>
        <v>9</v>
      </c>
      <c r="C107" s="88" t="s">
        <v>92</v>
      </c>
      <c r="D107" s="89" t="s">
        <v>93</v>
      </c>
      <c r="E107" s="88" t="s">
        <v>425</v>
      </c>
      <c r="F107" s="90">
        <v>178000</v>
      </c>
      <c r="G107" s="91"/>
      <c r="H107" s="92"/>
      <c r="I107" s="93"/>
      <c r="J107" s="22">
        <f t="shared" si="14"/>
        <v>178000</v>
      </c>
      <c r="K107" s="22">
        <f t="shared" si="15"/>
        <v>0</v>
      </c>
      <c r="L107" s="23"/>
      <c r="M107" s="23"/>
      <c r="N107" s="23"/>
      <c r="O107" s="23"/>
      <c r="P107" s="23"/>
      <c r="Q107" s="23"/>
      <c r="R107" s="23"/>
      <c r="S107" s="23"/>
      <c r="T107" s="23"/>
      <c r="U107" s="23"/>
      <c r="V107" s="24"/>
      <c r="W107" s="24"/>
      <c r="X107" s="24"/>
      <c r="Y107" s="24"/>
      <c r="Z107" s="24"/>
      <c r="AA107" s="24"/>
      <c r="AB107" s="24"/>
      <c r="AC107" s="24"/>
      <c r="AD107" s="24"/>
      <c r="AE107" s="24"/>
      <c r="AF107" s="24"/>
      <c r="AG107" s="24"/>
      <c r="AH107" s="24"/>
      <c r="AI107" s="24"/>
      <c r="AJ107" s="24"/>
      <c r="AK107" s="24"/>
      <c r="AL107" s="24"/>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row>
    <row r="108" spans="1:114" s="34" customFormat="1" ht="26.25" customHeight="1">
      <c r="A108" s="109">
        <f t="shared" si="16"/>
        <v>86</v>
      </c>
      <c r="B108" s="87">
        <f t="shared" si="16"/>
        <v>10</v>
      </c>
      <c r="C108" s="88" t="s">
        <v>92</v>
      </c>
      <c r="D108" s="89" t="s">
        <v>609</v>
      </c>
      <c r="E108" s="88" t="s">
        <v>424</v>
      </c>
      <c r="F108" s="90">
        <v>142200000</v>
      </c>
      <c r="G108" s="91"/>
      <c r="H108" s="92">
        <v>25000000</v>
      </c>
      <c r="I108" s="93" t="s">
        <v>498</v>
      </c>
      <c r="J108" s="22"/>
      <c r="K108" s="22"/>
      <c r="L108" s="23"/>
      <c r="M108" s="23"/>
      <c r="N108" s="23"/>
      <c r="O108" s="23"/>
      <c r="P108" s="23"/>
      <c r="Q108" s="23"/>
      <c r="R108" s="23"/>
      <c r="S108" s="23"/>
      <c r="T108" s="23"/>
      <c r="U108" s="23"/>
      <c r="V108" s="24"/>
      <c r="W108" s="24"/>
      <c r="X108" s="24"/>
      <c r="Y108" s="24"/>
      <c r="Z108" s="24"/>
      <c r="AA108" s="24"/>
      <c r="AB108" s="24"/>
      <c r="AC108" s="24"/>
      <c r="AD108" s="24"/>
      <c r="AE108" s="24"/>
      <c r="AF108" s="24"/>
      <c r="AG108" s="24"/>
      <c r="AH108" s="24"/>
      <c r="AI108" s="24"/>
      <c r="AJ108" s="24"/>
      <c r="AK108" s="24"/>
      <c r="AL108" s="24"/>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row>
    <row r="109" spans="1:114" s="26" customFormat="1" ht="15.75" customHeight="1">
      <c r="A109" s="109">
        <f t="shared" si="16"/>
        <v>87</v>
      </c>
      <c r="B109" s="87">
        <f t="shared" si="16"/>
        <v>11</v>
      </c>
      <c r="C109" s="88" t="s">
        <v>94</v>
      </c>
      <c r="D109" s="89" t="s">
        <v>95</v>
      </c>
      <c r="E109" s="88" t="s">
        <v>425</v>
      </c>
      <c r="F109" s="90">
        <f>+(6646.86+15658.44+48137.6+882+34301.96+4960.76+1470+37107.7)/0.98</f>
        <v>152209.51020408163</v>
      </c>
      <c r="G109" s="91"/>
      <c r="H109" s="92"/>
      <c r="I109" s="93"/>
      <c r="J109" s="22">
        <f t="shared" si="14"/>
        <v>152209.51020408163</v>
      </c>
      <c r="K109" s="22">
        <f t="shared" si="15"/>
        <v>0</v>
      </c>
      <c r="L109" s="23"/>
      <c r="M109" s="23"/>
      <c r="N109" s="23"/>
      <c r="O109" s="23"/>
      <c r="P109" s="23"/>
      <c r="Q109" s="23"/>
      <c r="R109" s="23"/>
      <c r="S109" s="23"/>
      <c r="T109" s="23"/>
      <c r="U109" s="23"/>
      <c r="V109" s="24"/>
      <c r="W109" s="24"/>
      <c r="X109" s="24"/>
      <c r="Y109" s="24"/>
      <c r="Z109" s="24"/>
      <c r="AA109" s="24"/>
      <c r="AB109" s="24"/>
      <c r="AC109" s="24"/>
      <c r="AD109" s="24"/>
      <c r="AE109" s="24"/>
      <c r="AF109" s="24"/>
      <c r="AG109" s="24"/>
      <c r="AH109" s="24"/>
      <c r="AI109" s="24"/>
      <c r="AJ109" s="24"/>
      <c r="AK109" s="24"/>
      <c r="AL109" s="24"/>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row>
    <row r="110" spans="1:114" s="26" customFormat="1" ht="15.75" customHeight="1">
      <c r="A110" s="109">
        <f t="shared" si="16"/>
        <v>88</v>
      </c>
      <c r="B110" s="87">
        <f t="shared" si="16"/>
        <v>12</v>
      </c>
      <c r="C110" s="88" t="s">
        <v>96</v>
      </c>
      <c r="D110" s="89" t="s">
        <v>610</v>
      </c>
      <c r="E110" s="88" t="s">
        <v>428</v>
      </c>
      <c r="F110" s="90">
        <v>228200000</v>
      </c>
      <c r="G110" s="91"/>
      <c r="H110" s="92">
        <v>42000000</v>
      </c>
      <c r="I110" s="93" t="s">
        <v>498</v>
      </c>
      <c r="J110" s="22">
        <f t="shared" si="14"/>
        <v>228200000</v>
      </c>
      <c r="K110" s="22">
        <f t="shared" si="15"/>
        <v>42000000</v>
      </c>
      <c r="L110" s="23"/>
      <c r="M110" s="23"/>
      <c r="N110" s="23"/>
      <c r="O110" s="23"/>
      <c r="P110" s="23"/>
      <c r="Q110" s="23"/>
      <c r="R110" s="23"/>
      <c r="S110" s="23"/>
      <c r="T110" s="23"/>
      <c r="U110" s="23"/>
      <c r="V110" s="24"/>
      <c r="W110" s="24"/>
      <c r="X110" s="24"/>
      <c r="Y110" s="24"/>
      <c r="Z110" s="24"/>
      <c r="AA110" s="24"/>
      <c r="AB110" s="24"/>
      <c r="AC110" s="24"/>
      <c r="AD110" s="24"/>
      <c r="AE110" s="24"/>
      <c r="AF110" s="24"/>
      <c r="AG110" s="24"/>
      <c r="AH110" s="24"/>
      <c r="AI110" s="24"/>
      <c r="AJ110" s="24"/>
      <c r="AK110" s="24"/>
      <c r="AL110" s="24"/>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row>
    <row r="111" spans="1:114" s="26" customFormat="1" ht="15.75" customHeight="1">
      <c r="A111" s="109">
        <f t="shared" si="16"/>
        <v>89</v>
      </c>
      <c r="B111" s="87">
        <f t="shared" si="16"/>
        <v>13</v>
      </c>
      <c r="C111" s="88" t="s">
        <v>97</v>
      </c>
      <c r="D111" s="89" t="s">
        <v>611</v>
      </c>
      <c r="E111" s="88" t="s">
        <v>428</v>
      </c>
      <c r="F111" s="90">
        <v>8616000</v>
      </c>
      <c r="G111" s="91"/>
      <c r="H111" s="92"/>
      <c r="I111" s="93"/>
      <c r="J111" s="22">
        <f t="shared" si="14"/>
        <v>8616000</v>
      </c>
      <c r="K111" s="22">
        <f t="shared" si="15"/>
        <v>0</v>
      </c>
      <c r="L111" s="23"/>
      <c r="M111" s="23"/>
      <c r="N111" s="23"/>
      <c r="O111" s="23"/>
      <c r="P111" s="23"/>
      <c r="Q111" s="23"/>
      <c r="R111" s="23"/>
      <c r="S111" s="23"/>
      <c r="T111" s="23"/>
      <c r="U111" s="23"/>
      <c r="V111" s="24"/>
      <c r="W111" s="24"/>
      <c r="X111" s="24"/>
      <c r="Y111" s="24"/>
      <c r="Z111" s="24"/>
      <c r="AA111" s="24"/>
      <c r="AB111" s="24"/>
      <c r="AC111" s="24"/>
      <c r="AD111" s="24"/>
      <c r="AE111" s="24"/>
      <c r="AF111" s="24"/>
      <c r="AG111" s="24"/>
      <c r="AH111" s="24"/>
      <c r="AI111" s="24"/>
      <c r="AJ111" s="24"/>
      <c r="AK111" s="24"/>
      <c r="AL111" s="24"/>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row>
    <row r="112" spans="1:114" s="26" customFormat="1" ht="15.75" customHeight="1">
      <c r="A112" s="109">
        <f t="shared" si="16"/>
        <v>90</v>
      </c>
      <c r="B112" s="87">
        <f t="shared" si="16"/>
        <v>14</v>
      </c>
      <c r="C112" s="88" t="s">
        <v>98</v>
      </c>
      <c r="D112" s="89" t="s">
        <v>612</v>
      </c>
      <c r="E112" s="88" t="s">
        <v>99</v>
      </c>
      <c r="F112" s="90">
        <v>40853006.12</v>
      </c>
      <c r="G112" s="91"/>
      <c r="H112" s="92"/>
      <c r="I112" s="93"/>
      <c r="J112" s="22">
        <f t="shared" si="14"/>
        <v>40853006.12</v>
      </c>
      <c r="K112" s="22">
        <f t="shared" si="15"/>
        <v>0</v>
      </c>
      <c r="L112" s="23"/>
      <c r="M112" s="23"/>
      <c r="N112" s="23"/>
      <c r="O112" s="23"/>
      <c r="P112" s="23"/>
      <c r="Q112" s="23"/>
      <c r="R112" s="23"/>
      <c r="S112" s="23"/>
      <c r="T112" s="23"/>
      <c r="U112" s="23"/>
      <c r="V112" s="24"/>
      <c r="W112" s="24"/>
      <c r="X112" s="24"/>
      <c r="Y112" s="24"/>
      <c r="Z112" s="24"/>
      <c r="AA112" s="24"/>
      <c r="AB112" s="24"/>
      <c r="AC112" s="24"/>
      <c r="AD112" s="24"/>
      <c r="AE112" s="24"/>
      <c r="AF112" s="24"/>
      <c r="AG112" s="24"/>
      <c r="AH112" s="24"/>
      <c r="AI112" s="24"/>
      <c r="AJ112" s="24"/>
      <c r="AK112" s="24"/>
      <c r="AL112" s="24"/>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row>
    <row r="113" spans="1:114" s="26" customFormat="1" ht="15.75" customHeight="1">
      <c r="A113" s="109">
        <f t="shared" si="16"/>
        <v>91</v>
      </c>
      <c r="B113" s="87">
        <f t="shared" si="16"/>
        <v>15</v>
      </c>
      <c r="C113" s="88" t="s">
        <v>100</v>
      </c>
      <c r="D113" s="89" t="s">
        <v>613</v>
      </c>
      <c r="E113" s="88" t="s">
        <v>99</v>
      </c>
      <c r="F113" s="90">
        <v>279954373.03</v>
      </c>
      <c r="G113" s="91"/>
      <c r="H113" s="92"/>
      <c r="I113" s="93"/>
      <c r="J113" s="22">
        <f t="shared" si="14"/>
        <v>279954373.03</v>
      </c>
      <c r="K113" s="22">
        <f t="shared" si="15"/>
        <v>0</v>
      </c>
      <c r="L113" s="23"/>
      <c r="M113" s="23"/>
      <c r="N113" s="23"/>
      <c r="O113" s="23"/>
      <c r="P113" s="23"/>
      <c r="Q113" s="23"/>
      <c r="R113" s="23"/>
      <c r="S113" s="23"/>
      <c r="T113" s="23"/>
      <c r="U113" s="23"/>
      <c r="V113" s="24"/>
      <c r="W113" s="24"/>
      <c r="X113" s="24"/>
      <c r="Y113" s="24"/>
      <c r="Z113" s="24"/>
      <c r="AA113" s="24"/>
      <c r="AB113" s="24"/>
      <c r="AC113" s="24"/>
      <c r="AD113" s="24"/>
      <c r="AE113" s="24"/>
      <c r="AF113" s="24"/>
      <c r="AG113" s="24"/>
      <c r="AH113" s="24"/>
      <c r="AI113" s="24"/>
      <c r="AJ113" s="24"/>
      <c r="AK113" s="24"/>
      <c r="AL113" s="24"/>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row>
    <row r="114" spans="1:114" s="26" customFormat="1" ht="15.75" customHeight="1">
      <c r="A114" s="109">
        <f t="shared" si="16"/>
        <v>92</v>
      </c>
      <c r="B114" s="87">
        <f t="shared" si="16"/>
        <v>16</v>
      </c>
      <c r="C114" s="88" t="s">
        <v>101</v>
      </c>
      <c r="D114" s="89" t="s">
        <v>614</v>
      </c>
      <c r="E114" s="88" t="s">
        <v>99</v>
      </c>
      <c r="F114" s="90">
        <v>918246250</v>
      </c>
      <c r="G114" s="91"/>
      <c r="H114" s="92"/>
      <c r="I114" s="93"/>
      <c r="J114" s="22">
        <f t="shared" si="14"/>
        <v>918246250</v>
      </c>
      <c r="K114" s="22">
        <f t="shared" si="15"/>
        <v>0</v>
      </c>
      <c r="L114" s="23"/>
      <c r="M114" s="23"/>
      <c r="N114" s="23"/>
      <c r="O114" s="23"/>
      <c r="P114" s="23"/>
      <c r="Q114" s="23"/>
      <c r="R114" s="23"/>
      <c r="S114" s="23"/>
      <c r="T114" s="23"/>
      <c r="U114" s="23"/>
      <c r="V114" s="24"/>
      <c r="W114" s="24"/>
      <c r="X114" s="24"/>
      <c r="Y114" s="24"/>
      <c r="Z114" s="24"/>
      <c r="AA114" s="24"/>
      <c r="AB114" s="24"/>
      <c r="AC114" s="24"/>
      <c r="AD114" s="24"/>
      <c r="AE114" s="24"/>
      <c r="AF114" s="24"/>
      <c r="AG114" s="24"/>
      <c r="AH114" s="24"/>
      <c r="AI114" s="24"/>
      <c r="AJ114" s="24"/>
      <c r="AK114" s="24"/>
      <c r="AL114" s="24"/>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row>
    <row r="115" spans="1:114" s="26" customFormat="1" ht="15.75" customHeight="1">
      <c r="A115" s="109">
        <f t="shared" si="16"/>
        <v>93</v>
      </c>
      <c r="B115" s="87">
        <f t="shared" si="16"/>
        <v>17</v>
      </c>
      <c r="C115" s="88" t="s">
        <v>102</v>
      </c>
      <c r="D115" s="89" t="s">
        <v>615</v>
      </c>
      <c r="E115" s="88" t="s">
        <v>427</v>
      </c>
      <c r="F115" s="90">
        <v>20000000</v>
      </c>
      <c r="G115" s="91"/>
      <c r="H115" s="92">
        <f>13200000+2506800000</f>
        <v>2520000000</v>
      </c>
      <c r="I115" s="101" t="s">
        <v>498</v>
      </c>
      <c r="J115" s="22">
        <f t="shared" si="14"/>
        <v>20000000</v>
      </c>
      <c r="K115" s="22">
        <f t="shared" si="15"/>
        <v>2520000000</v>
      </c>
      <c r="L115" s="23"/>
      <c r="M115" s="23"/>
      <c r="N115" s="23"/>
      <c r="O115" s="23"/>
      <c r="P115" s="23"/>
      <c r="Q115" s="23"/>
      <c r="R115" s="23"/>
      <c r="S115" s="23"/>
      <c r="T115" s="23"/>
      <c r="U115" s="23"/>
      <c r="V115" s="24"/>
      <c r="W115" s="24"/>
      <c r="X115" s="24"/>
      <c r="Y115" s="24"/>
      <c r="Z115" s="24"/>
      <c r="AA115" s="24"/>
      <c r="AB115" s="24"/>
      <c r="AC115" s="24"/>
      <c r="AD115" s="24"/>
      <c r="AE115" s="24"/>
      <c r="AF115" s="24"/>
      <c r="AG115" s="24"/>
      <c r="AH115" s="24"/>
      <c r="AI115" s="24"/>
      <c r="AJ115" s="24"/>
      <c r="AK115" s="24"/>
      <c r="AL115" s="24"/>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row>
    <row r="116" spans="1:114" s="26" customFormat="1" ht="15.75" customHeight="1">
      <c r="A116" s="109">
        <f aca="true" t="shared" si="17" ref="A116:B131">A115+1</f>
        <v>94</v>
      </c>
      <c r="B116" s="87">
        <f t="shared" si="17"/>
        <v>18</v>
      </c>
      <c r="C116" s="88" t="s">
        <v>103</v>
      </c>
      <c r="D116" s="89" t="s">
        <v>616</v>
      </c>
      <c r="E116" s="88" t="s">
        <v>425</v>
      </c>
      <c r="F116" s="90">
        <v>6500000</v>
      </c>
      <c r="G116" s="91"/>
      <c r="H116" s="92"/>
      <c r="I116" s="101"/>
      <c r="J116" s="22">
        <f t="shared" si="14"/>
        <v>6500000</v>
      </c>
      <c r="K116" s="22">
        <f t="shared" si="15"/>
        <v>0</v>
      </c>
      <c r="L116" s="23"/>
      <c r="M116" s="23"/>
      <c r="N116" s="23"/>
      <c r="O116" s="23"/>
      <c r="P116" s="23"/>
      <c r="Q116" s="23"/>
      <c r="R116" s="23"/>
      <c r="S116" s="23"/>
      <c r="T116" s="23"/>
      <c r="U116" s="23"/>
      <c r="V116" s="24"/>
      <c r="W116" s="24"/>
      <c r="X116" s="24"/>
      <c r="Y116" s="24"/>
      <c r="Z116" s="24"/>
      <c r="AA116" s="24"/>
      <c r="AB116" s="24"/>
      <c r="AC116" s="24"/>
      <c r="AD116" s="24"/>
      <c r="AE116" s="24"/>
      <c r="AF116" s="24"/>
      <c r="AG116" s="24"/>
      <c r="AH116" s="24"/>
      <c r="AI116" s="24"/>
      <c r="AJ116" s="24"/>
      <c r="AK116" s="24"/>
      <c r="AL116" s="24"/>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row>
    <row r="117" spans="1:114" s="26" customFormat="1" ht="15.75" customHeight="1">
      <c r="A117" s="109">
        <f t="shared" si="17"/>
        <v>95</v>
      </c>
      <c r="B117" s="87">
        <f t="shared" si="17"/>
        <v>19</v>
      </c>
      <c r="C117" s="88" t="s">
        <v>103</v>
      </c>
      <c r="D117" s="89" t="s">
        <v>617</v>
      </c>
      <c r="E117" s="88" t="s">
        <v>425</v>
      </c>
      <c r="F117" s="90">
        <v>5807000</v>
      </c>
      <c r="G117" s="91"/>
      <c r="H117" s="92"/>
      <c r="I117" s="93"/>
      <c r="J117" s="22">
        <f t="shared" si="14"/>
        <v>5807000</v>
      </c>
      <c r="K117" s="22">
        <f t="shared" si="15"/>
        <v>0</v>
      </c>
      <c r="L117" s="23"/>
      <c r="M117" s="23"/>
      <c r="N117" s="23"/>
      <c r="O117" s="23"/>
      <c r="P117" s="23"/>
      <c r="Q117" s="23"/>
      <c r="R117" s="23"/>
      <c r="S117" s="23"/>
      <c r="T117" s="23"/>
      <c r="U117" s="23"/>
      <c r="V117" s="24"/>
      <c r="W117" s="24"/>
      <c r="X117" s="24"/>
      <c r="Y117" s="24"/>
      <c r="Z117" s="24"/>
      <c r="AA117" s="24"/>
      <c r="AB117" s="24"/>
      <c r="AC117" s="24"/>
      <c r="AD117" s="24"/>
      <c r="AE117" s="24"/>
      <c r="AF117" s="24"/>
      <c r="AG117" s="24"/>
      <c r="AH117" s="24"/>
      <c r="AI117" s="24"/>
      <c r="AJ117" s="24"/>
      <c r="AK117" s="24"/>
      <c r="AL117" s="24"/>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row>
    <row r="118" spans="1:114" s="26" customFormat="1" ht="15.75" customHeight="1">
      <c r="A118" s="111">
        <f t="shared" si="17"/>
        <v>96</v>
      </c>
      <c r="B118" s="95">
        <f t="shared" si="17"/>
        <v>20</v>
      </c>
      <c r="C118" s="96" t="s">
        <v>104</v>
      </c>
      <c r="D118" s="97" t="s">
        <v>618</v>
      </c>
      <c r="E118" s="96" t="s">
        <v>428</v>
      </c>
      <c r="F118" s="98">
        <f>78938216.24/2.44</f>
        <v>32351727.967213113</v>
      </c>
      <c r="G118" s="99"/>
      <c r="H118" s="92"/>
      <c r="I118" s="93"/>
      <c r="J118" s="22">
        <f t="shared" si="14"/>
        <v>32351727.967213113</v>
      </c>
      <c r="K118" s="22">
        <f t="shared" si="15"/>
        <v>0</v>
      </c>
      <c r="L118" s="23"/>
      <c r="M118" s="23"/>
      <c r="N118" s="23"/>
      <c r="O118" s="23"/>
      <c r="P118" s="23"/>
      <c r="Q118" s="23"/>
      <c r="R118" s="23"/>
      <c r="S118" s="23"/>
      <c r="T118" s="23"/>
      <c r="U118" s="23"/>
      <c r="V118" s="24"/>
      <c r="W118" s="24"/>
      <c r="X118" s="24"/>
      <c r="Y118" s="24"/>
      <c r="Z118" s="24"/>
      <c r="AA118" s="24"/>
      <c r="AB118" s="24"/>
      <c r="AC118" s="24"/>
      <c r="AD118" s="24"/>
      <c r="AE118" s="24"/>
      <c r="AF118" s="24"/>
      <c r="AG118" s="24"/>
      <c r="AH118" s="24"/>
      <c r="AI118" s="24"/>
      <c r="AJ118" s="24"/>
      <c r="AK118" s="24"/>
      <c r="AL118" s="24"/>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row>
    <row r="119" spans="1:114" s="26" customFormat="1" ht="15.75" customHeight="1">
      <c r="A119" s="109">
        <f t="shared" si="17"/>
        <v>97</v>
      </c>
      <c r="B119" s="87">
        <f t="shared" si="17"/>
        <v>21</v>
      </c>
      <c r="C119" s="88" t="s">
        <v>104</v>
      </c>
      <c r="D119" s="89" t="s">
        <v>619</v>
      </c>
      <c r="E119" s="88" t="s">
        <v>428</v>
      </c>
      <c r="F119" s="90">
        <f>182404995.4/2.44</f>
        <v>74756145.65573771</v>
      </c>
      <c r="G119" s="91"/>
      <c r="H119" s="92"/>
      <c r="I119" s="93"/>
      <c r="J119" s="22">
        <f t="shared" si="14"/>
        <v>74756145.65573771</v>
      </c>
      <c r="K119" s="22">
        <f t="shared" si="15"/>
        <v>0</v>
      </c>
      <c r="L119" s="23"/>
      <c r="M119" s="23"/>
      <c r="N119" s="23"/>
      <c r="O119" s="23"/>
      <c r="P119" s="23"/>
      <c r="Q119" s="23"/>
      <c r="R119" s="23"/>
      <c r="S119" s="23"/>
      <c r="T119" s="23"/>
      <c r="U119" s="23"/>
      <c r="V119" s="24"/>
      <c r="W119" s="24"/>
      <c r="X119" s="24"/>
      <c r="Y119" s="24"/>
      <c r="Z119" s="24"/>
      <c r="AA119" s="24"/>
      <c r="AB119" s="24"/>
      <c r="AC119" s="24"/>
      <c r="AD119" s="24"/>
      <c r="AE119" s="24"/>
      <c r="AF119" s="24"/>
      <c r="AG119" s="24"/>
      <c r="AH119" s="24"/>
      <c r="AI119" s="24"/>
      <c r="AJ119" s="24"/>
      <c r="AK119" s="24"/>
      <c r="AL119" s="24"/>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row>
    <row r="120" spans="1:114" s="26" customFormat="1" ht="15.75" customHeight="1">
      <c r="A120" s="109">
        <f t="shared" si="17"/>
        <v>98</v>
      </c>
      <c r="B120" s="87">
        <f t="shared" si="17"/>
        <v>22</v>
      </c>
      <c r="C120" s="88" t="s">
        <v>105</v>
      </c>
      <c r="D120" s="89" t="s">
        <v>620</v>
      </c>
      <c r="E120" s="88" t="s">
        <v>424</v>
      </c>
      <c r="F120" s="90">
        <v>18856500</v>
      </c>
      <c r="G120" s="91"/>
      <c r="H120" s="92"/>
      <c r="I120" s="93"/>
      <c r="J120" s="22">
        <f t="shared" si="14"/>
        <v>18856500</v>
      </c>
      <c r="K120" s="22">
        <f t="shared" si="15"/>
        <v>0</v>
      </c>
      <c r="L120" s="23"/>
      <c r="M120" s="23"/>
      <c r="N120" s="23"/>
      <c r="O120" s="23"/>
      <c r="P120" s="23"/>
      <c r="Q120" s="23"/>
      <c r="R120" s="23"/>
      <c r="S120" s="23"/>
      <c r="T120" s="23"/>
      <c r="U120" s="23"/>
      <c r="V120" s="24"/>
      <c r="W120" s="24"/>
      <c r="X120" s="24"/>
      <c r="Y120" s="24"/>
      <c r="Z120" s="24"/>
      <c r="AA120" s="24"/>
      <c r="AB120" s="24"/>
      <c r="AC120" s="24"/>
      <c r="AD120" s="24"/>
      <c r="AE120" s="24"/>
      <c r="AF120" s="24"/>
      <c r="AG120" s="24"/>
      <c r="AH120" s="24"/>
      <c r="AI120" s="24"/>
      <c r="AJ120" s="24"/>
      <c r="AK120" s="24"/>
      <c r="AL120" s="24"/>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row>
    <row r="121" spans="1:114" s="26" customFormat="1" ht="15.75" customHeight="1">
      <c r="A121" s="109">
        <f t="shared" si="17"/>
        <v>99</v>
      </c>
      <c r="B121" s="87">
        <f t="shared" si="17"/>
        <v>23</v>
      </c>
      <c r="C121" s="88" t="s">
        <v>106</v>
      </c>
      <c r="D121" s="89" t="s">
        <v>621</v>
      </c>
      <c r="E121" s="88" t="s">
        <v>425</v>
      </c>
      <c r="F121" s="90">
        <v>805000</v>
      </c>
      <c r="G121" s="91"/>
      <c r="H121" s="92"/>
      <c r="I121" s="93"/>
      <c r="J121" s="22">
        <f t="shared" si="14"/>
        <v>805000</v>
      </c>
      <c r="K121" s="22">
        <f t="shared" si="15"/>
        <v>0</v>
      </c>
      <c r="L121" s="23"/>
      <c r="M121" s="23"/>
      <c r="N121" s="23"/>
      <c r="O121" s="23"/>
      <c r="P121" s="23"/>
      <c r="Q121" s="23"/>
      <c r="R121" s="23"/>
      <c r="S121" s="23"/>
      <c r="T121" s="23"/>
      <c r="U121" s="23"/>
      <c r="V121" s="24"/>
      <c r="W121" s="24"/>
      <c r="X121" s="24"/>
      <c r="Y121" s="24"/>
      <c r="Z121" s="24"/>
      <c r="AA121" s="24"/>
      <c r="AB121" s="24"/>
      <c r="AC121" s="24"/>
      <c r="AD121" s="24"/>
      <c r="AE121" s="24"/>
      <c r="AF121" s="24"/>
      <c r="AG121" s="24"/>
      <c r="AH121" s="24"/>
      <c r="AI121" s="24"/>
      <c r="AJ121" s="24"/>
      <c r="AK121" s="24"/>
      <c r="AL121" s="24"/>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row>
    <row r="122" spans="1:114" s="26" customFormat="1" ht="15.75" customHeight="1">
      <c r="A122" s="109">
        <f t="shared" si="17"/>
        <v>100</v>
      </c>
      <c r="B122" s="87">
        <f t="shared" si="17"/>
        <v>24</v>
      </c>
      <c r="C122" s="88" t="s">
        <v>131</v>
      </c>
      <c r="D122" s="89" t="s">
        <v>622</v>
      </c>
      <c r="E122" s="88" t="s">
        <v>428</v>
      </c>
      <c r="F122" s="90">
        <f>99428287.35*0.1977</f>
        <v>19656972.409094997</v>
      </c>
      <c r="G122" s="91"/>
      <c r="H122" s="92"/>
      <c r="I122" s="93"/>
      <c r="J122" s="22">
        <f t="shared" si="14"/>
        <v>19656972.409094997</v>
      </c>
      <c r="K122" s="22">
        <f t="shared" si="15"/>
        <v>0</v>
      </c>
      <c r="L122" s="23"/>
      <c r="M122" s="23"/>
      <c r="N122" s="23"/>
      <c r="O122" s="23"/>
      <c r="P122" s="23"/>
      <c r="Q122" s="23"/>
      <c r="R122" s="23"/>
      <c r="S122" s="23"/>
      <c r="T122" s="23"/>
      <c r="U122" s="23"/>
      <c r="V122" s="24"/>
      <c r="W122" s="24"/>
      <c r="X122" s="24"/>
      <c r="Y122" s="24"/>
      <c r="Z122" s="24"/>
      <c r="AA122" s="24"/>
      <c r="AB122" s="24"/>
      <c r="AC122" s="24"/>
      <c r="AD122" s="24"/>
      <c r="AE122" s="24"/>
      <c r="AF122" s="24"/>
      <c r="AG122" s="24"/>
      <c r="AH122" s="24"/>
      <c r="AI122" s="24"/>
      <c r="AJ122" s="24"/>
      <c r="AK122" s="24"/>
      <c r="AL122" s="24"/>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row>
    <row r="123" spans="1:114" s="26" customFormat="1" ht="15.75" customHeight="1">
      <c r="A123" s="109">
        <f t="shared" si="17"/>
        <v>101</v>
      </c>
      <c r="B123" s="87">
        <f t="shared" si="17"/>
        <v>25</v>
      </c>
      <c r="C123" s="88" t="s">
        <v>107</v>
      </c>
      <c r="D123" s="89" t="s">
        <v>623</v>
      </c>
      <c r="E123" s="88" t="s">
        <v>426</v>
      </c>
      <c r="F123" s="90">
        <f>6760000-536216.95+162470.07-24783.57</f>
        <v>6361469.55</v>
      </c>
      <c r="G123" s="91"/>
      <c r="H123" s="92"/>
      <c r="I123" s="93"/>
      <c r="J123" s="22">
        <f t="shared" si="14"/>
        <v>6361469.55</v>
      </c>
      <c r="K123" s="22">
        <f t="shared" si="15"/>
        <v>0</v>
      </c>
      <c r="L123" s="23"/>
      <c r="M123" s="23"/>
      <c r="N123" s="23"/>
      <c r="O123" s="23"/>
      <c r="P123" s="23"/>
      <c r="Q123" s="23"/>
      <c r="R123" s="23"/>
      <c r="S123" s="23"/>
      <c r="T123" s="23"/>
      <c r="U123" s="23"/>
      <c r="V123" s="24"/>
      <c r="W123" s="24"/>
      <c r="X123" s="24"/>
      <c r="Y123" s="24"/>
      <c r="Z123" s="24"/>
      <c r="AA123" s="24"/>
      <c r="AB123" s="24"/>
      <c r="AC123" s="24"/>
      <c r="AD123" s="24"/>
      <c r="AE123" s="24"/>
      <c r="AF123" s="24"/>
      <c r="AG123" s="24"/>
      <c r="AH123" s="24"/>
      <c r="AI123" s="24"/>
      <c r="AJ123" s="24"/>
      <c r="AK123" s="24"/>
      <c r="AL123" s="24"/>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row>
    <row r="124" spans="1:114" s="26" customFormat="1" ht="15.75" customHeight="1">
      <c r="A124" s="109">
        <f t="shared" si="17"/>
        <v>102</v>
      </c>
      <c r="B124" s="87">
        <f t="shared" si="17"/>
        <v>26</v>
      </c>
      <c r="C124" s="88" t="s">
        <v>108</v>
      </c>
      <c r="D124" s="89" t="s">
        <v>624</v>
      </c>
      <c r="E124" s="88" t="s">
        <v>428</v>
      </c>
      <c r="F124" s="90">
        <f>8833791.6/2.569</f>
        <v>3438610.977033865</v>
      </c>
      <c r="G124" s="91"/>
      <c r="H124" s="92"/>
      <c r="I124" s="93"/>
      <c r="J124" s="22">
        <f t="shared" si="14"/>
        <v>3438610.977033865</v>
      </c>
      <c r="K124" s="22">
        <f t="shared" si="15"/>
        <v>0</v>
      </c>
      <c r="L124" s="23"/>
      <c r="M124" s="23"/>
      <c r="N124" s="23"/>
      <c r="O124" s="23"/>
      <c r="P124" s="23"/>
      <c r="Q124" s="23"/>
      <c r="R124" s="23"/>
      <c r="S124" s="23"/>
      <c r="T124" s="23"/>
      <c r="U124" s="23"/>
      <c r="V124" s="24"/>
      <c r="W124" s="24"/>
      <c r="X124" s="24"/>
      <c r="Y124" s="24"/>
      <c r="Z124" s="24"/>
      <c r="AA124" s="24"/>
      <c r="AB124" s="24"/>
      <c r="AC124" s="24"/>
      <c r="AD124" s="24"/>
      <c r="AE124" s="24"/>
      <c r="AF124" s="24"/>
      <c r="AG124" s="24"/>
      <c r="AH124" s="24"/>
      <c r="AI124" s="24"/>
      <c r="AJ124" s="24"/>
      <c r="AK124" s="24"/>
      <c r="AL124" s="24"/>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row>
    <row r="125" spans="1:114" s="26" customFormat="1" ht="15.75" customHeight="1">
      <c r="A125" s="109">
        <f t="shared" si="17"/>
        <v>103</v>
      </c>
      <c r="B125" s="87">
        <f t="shared" si="17"/>
        <v>27</v>
      </c>
      <c r="C125" s="88" t="s">
        <v>129</v>
      </c>
      <c r="D125" s="89" t="s">
        <v>130</v>
      </c>
      <c r="E125" s="88" t="s">
        <v>424</v>
      </c>
      <c r="F125" s="90">
        <v>202000000</v>
      </c>
      <c r="G125" s="91"/>
      <c r="H125" s="92">
        <v>25000000</v>
      </c>
      <c r="I125" s="101" t="s">
        <v>498</v>
      </c>
      <c r="J125" s="22">
        <f>+F125</f>
        <v>202000000</v>
      </c>
      <c r="K125" s="22">
        <f>+H125</f>
        <v>25000000</v>
      </c>
      <c r="L125" s="23"/>
      <c r="M125" s="23"/>
      <c r="N125" s="23"/>
      <c r="O125" s="23"/>
      <c r="P125" s="23"/>
      <c r="Q125" s="23"/>
      <c r="R125" s="23"/>
      <c r="S125" s="23"/>
      <c r="T125" s="23"/>
      <c r="U125" s="23"/>
      <c r="V125" s="24"/>
      <c r="W125" s="24"/>
      <c r="X125" s="24"/>
      <c r="Y125" s="24"/>
      <c r="Z125" s="24"/>
      <c r="AA125" s="24"/>
      <c r="AB125" s="24"/>
      <c r="AC125" s="24"/>
      <c r="AD125" s="24"/>
      <c r="AE125" s="24"/>
      <c r="AF125" s="24"/>
      <c r="AG125" s="24"/>
      <c r="AH125" s="24"/>
      <c r="AI125" s="24"/>
      <c r="AJ125" s="24"/>
      <c r="AK125" s="24"/>
      <c r="AL125" s="24"/>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row>
    <row r="126" spans="1:114" s="26" customFormat="1" ht="15.75" customHeight="1">
      <c r="A126" s="109">
        <f t="shared" si="17"/>
        <v>104</v>
      </c>
      <c r="B126" s="87">
        <f t="shared" si="17"/>
        <v>28</v>
      </c>
      <c r="C126" s="88" t="s">
        <v>109</v>
      </c>
      <c r="D126" s="89" t="s">
        <v>625</v>
      </c>
      <c r="E126" s="88" t="s">
        <v>428</v>
      </c>
      <c r="F126" s="90">
        <f>17252431.56/2.585</f>
        <v>6674054.762088974</v>
      </c>
      <c r="G126" s="91"/>
      <c r="H126" s="92"/>
      <c r="I126" s="93"/>
      <c r="J126" s="22">
        <f t="shared" si="14"/>
        <v>6674054.762088974</v>
      </c>
      <c r="K126" s="22">
        <f t="shared" si="15"/>
        <v>0</v>
      </c>
      <c r="L126" s="23"/>
      <c r="M126" s="23"/>
      <c r="N126" s="23"/>
      <c r="O126" s="23"/>
      <c r="P126" s="23"/>
      <c r="Q126" s="23"/>
      <c r="R126" s="23"/>
      <c r="S126" s="23"/>
      <c r="T126" s="23"/>
      <c r="U126" s="23"/>
      <c r="V126" s="24"/>
      <c r="W126" s="24"/>
      <c r="X126" s="24"/>
      <c r="Y126" s="24"/>
      <c r="Z126" s="24"/>
      <c r="AA126" s="24"/>
      <c r="AB126" s="24"/>
      <c r="AC126" s="24"/>
      <c r="AD126" s="24"/>
      <c r="AE126" s="24"/>
      <c r="AF126" s="24"/>
      <c r="AG126" s="24"/>
      <c r="AH126" s="24"/>
      <c r="AI126" s="24"/>
      <c r="AJ126" s="24"/>
      <c r="AK126" s="24"/>
      <c r="AL126" s="24"/>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row>
    <row r="127" spans="1:114" s="26" customFormat="1" ht="15.75" customHeight="1">
      <c r="A127" s="109">
        <f t="shared" si="17"/>
        <v>105</v>
      </c>
      <c r="B127" s="87">
        <f t="shared" si="17"/>
        <v>29</v>
      </c>
      <c r="C127" s="88" t="s">
        <v>110</v>
      </c>
      <c r="D127" s="89" t="s">
        <v>626</v>
      </c>
      <c r="E127" s="88" t="s">
        <v>428</v>
      </c>
      <c r="F127" s="90">
        <f>94370587.92/2.6</f>
        <v>36296379.96923077</v>
      </c>
      <c r="G127" s="91"/>
      <c r="H127" s="92"/>
      <c r="I127" s="93"/>
      <c r="J127" s="22">
        <f t="shared" si="14"/>
        <v>36296379.96923077</v>
      </c>
      <c r="K127" s="22">
        <f t="shared" si="15"/>
        <v>0</v>
      </c>
      <c r="L127" s="23"/>
      <c r="M127" s="23"/>
      <c r="N127" s="23"/>
      <c r="O127" s="23"/>
      <c r="P127" s="23"/>
      <c r="Q127" s="23"/>
      <c r="R127" s="23"/>
      <c r="S127" s="23"/>
      <c r="T127" s="23"/>
      <c r="U127" s="23"/>
      <c r="V127" s="24"/>
      <c r="W127" s="24"/>
      <c r="X127" s="24"/>
      <c r="Y127" s="24"/>
      <c r="Z127" s="24"/>
      <c r="AA127" s="24"/>
      <c r="AB127" s="24"/>
      <c r="AC127" s="24"/>
      <c r="AD127" s="24"/>
      <c r="AE127" s="24"/>
      <c r="AF127" s="24"/>
      <c r="AG127" s="24"/>
      <c r="AH127" s="24"/>
      <c r="AI127" s="24"/>
      <c r="AJ127" s="24"/>
      <c r="AK127" s="24"/>
      <c r="AL127" s="24"/>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row>
    <row r="128" spans="1:114" s="26" customFormat="1" ht="15.75" customHeight="1">
      <c r="A128" s="109">
        <f t="shared" si="17"/>
        <v>106</v>
      </c>
      <c r="B128" s="87">
        <f t="shared" si="17"/>
        <v>30</v>
      </c>
      <c r="C128" s="88" t="s">
        <v>111</v>
      </c>
      <c r="D128" s="89" t="s">
        <v>627</v>
      </c>
      <c r="E128" s="88" t="s">
        <v>425</v>
      </c>
      <c r="F128" s="90">
        <v>5751333</v>
      </c>
      <c r="G128" s="91"/>
      <c r="H128" s="92"/>
      <c r="I128" s="93"/>
      <c r="J128" s="22">
        <f t="shared" si="14"/>
        <v>5751333</v>
      </c>
      <c r="K128" s="22">
        <f t="shared" si="15"/>
        <v>0</v>
      </c>
      <c r="L128" s="23"/>
      <c r="M128" s="23"/>
      <c r="N128" s="23"/>
      <c r="O128" s="23"/>
      <c r="P128" s="23"/>
      <c r="Q128" s="23"/>
      <c r="R128" s="23"/>
      <c r="S128" s="23"/>
      <c r="T128" s="23"/>
      <c r="U128" s="23"/>
      <c r="V128" s="24"/>
      <c r="W128" s="24"/>
      <c r="X128" s="24"/>
      <c r="Y128" s="24"/>
      <c r="Z128" s="24"/>
      <c r="AA128" s="24"/>
      <c r="AB128" s="24"/>
      <c r="AC128" s="24"/>
      <c r="AD128" s="24"/>
      <c r="AE128" s="24"/>
      <c r="AF128" s="24"/>
      <c r="AG128" s="24"/>
      <c r="AH128" s="24"/>
      <c r="AI128" s="24"/>
      <c r="AJ128" s="24"/>
      <c r="AK128" s="24"/>
      <c r="AL128" s="24"/>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row>
    <row r="129" spans="1:114" s="26" customFormat="1" ht="15.75" customHeight="1">
      <c r="A129" s="109">
        <f t="shared" si="17"/>
        <v>107</v>
      </c>
      <c r="B129" s="87">
        <f t="shared" si="17"/>
        <v>31</v>
      </c>
      <c r="C129" s="88" t="s">
        <v>112</v>
      </c>
      <c r="D129" s="89" t="s">
        <v>628</v>
      </c>
      <c r="E129" s="88" t="s">
        <v>428</v>
      </c>
      <c r="F129" s="90">
        <f>23999994</f>
        <v>23999994</v>
      </c>
      <c r="G129" s="91"/>
      <c r="H129" s="92"/>
      <c r="I129" s="93"/>
      <c r="J129" s="22">
        <f t="shared" si="14"/>
        <v>23999994</v>
      </c>
      <c r="K129" s="22">
        <f t="shared" si="15"/>
        <v>0</v>
      </c>
      <c r="L129" s="23"/>
      <c r="M129" s="23"/>
      <c r="N129" s="23"/>
      <c r="O129" s="23"/>
      <c r="P129" s="23"/>
      <c r="Q129" s="23"/>
      <c r="R129" s="23"/>
      <c r="S129" s="23"/>
      <c r="T129" s="23"/>
      <c r="U129" s="23"/>
      <c r="V129" s="24"/>
      <c r="W129" s="24"/>
      <c r="X129" s="24"/>
      <c r="Y129" s="24"/>
      <c r="Z129" s="24"/>
      <c r="AA129" s="24"/>
      <c r="AB129" s="24"/>
      <c r="AC129" s="24"/>
      <c r="AD129" s="24"/>
      <c r="AE129" s="24"/>
      <c r="AF129" s="24"/>
      <c r="AG129" s="24"/>
      <c r="AH129" s="24"/>
      <c r="AI129" s="24"/>
      <c r="AJ129" s="24"/>
      <c r="AK129" s="24"/>
      <c r="AL129" s="24"/>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row>
    <row r="130" spans="1:114" s="26" customFormat="1" ht="15.75" customHeight="1">
      <c r="A130" s="109">
        <f t="shared" si="17"/>
        <v>108</v>
      </c>
      <c r="B130" s="87">
        <f t="shared" si="17"/>
        <v>32</v>
      </c>
      <c r="C130" s="88" t="s">
        <v>112</v>
      </c>
      <c r="D130" s="89" t="s">
        <v>629</v>
      </c>
      <c r="E130" s="88" t="s">
        <v>428</v>
      </c>
      <c r="F130" s="90">
        <f>108209942.3/2.584</f>
        <v>41876912.65479876</v>
      </c>
      <c r="G130" s="91"/>
      <c r="H130" s="92"/>
      <c r="I130" s="93"/>
      <c r="J130" s="22">
        <f t="shared" si="14"/>
        <v>41876912.65479876</v>
      </c>
      <c r="K130" s="22">
        <f t="shared" si="15"/>
        <v>0</v>
      </c>
      <c r="L130" s="23"/>
      <c r="M130" s="23"/>
      <c r="N130" s="23"/>
      <c r="O130" s="23"/>
      <c r="P130" s="23"/>
      <c r="Q130" s="23"/>
      <c r="R130" s="23"/>
      <c r="S130" s="23"/>
      <c r="T130" s="23"/>
      <c r="U130" s="23"/>
      <c r="V130" s="24"/>
      <c r="W130" s="24"/>
      <c r="X130" s="24"/>
      <c r="Y130" s="24"/>
      <c r="Z130" s="24"/>
      <c r="AA130" s="24"/>
      <c r="AB130" s="24"/>
      <c r="AC130" s="24"/>
      <c r="AD130" s="24"/>
      <c r="AE130" s="24"/>
      <c r="AF130" s="24"/>
      <c r="AG130" s="24"/>
      <c r="AH130" s="24"/>
      <c r="AI130" s="24"/>
      <c r="AJ130" s="24"/>
      <c r="AK130" s="24"/>
      <c r="AL130" s="24"/>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row>
    <row r="131" spans="1:114" s="26" customFormat="1" ht="15.75" customHeight="1">
      <c r="A131" s="109">
        <f t="shared" si="17"/>
        <v>109</v>
      </c>
      <c r="B131" s="87">
        <f t="shared" si="17"/>
        <v>33</v>
      </c>
      <c r="C131" s="88" t="s">
        <v>112</v>
      </c>
      <c r="D131" s="89" t="s">
        <v>630</v>
      </c>
      <c r="E131" s="88" t="s">
        <v>428</v>
      </c>
      <c r="F131" s="90">
        <f>249619444.71/2.584</f>
        <v>96601952.28715171</v>
      </c>
      <c r="G131" s="91"/>
      <c r="H131" s="92"/>
      <c r="I131" s="93"/>
      <c r="J131" s="22">
        <f t="shared" si="14"/>
        <v>96601952.28715171</v>
      </c>
      <c r="K131" s="22">
        <f t="shared" si="15"/>
        <v>0</v>
      </c>
      <c r="L131" s="23"/>
      <c r="M131" s="23"/>
      <c r="N131" s="23"/>
      <c r="O131" s="23"/>
      <c r="P131" s="23"/>
      <c r="Q131" s="23"/>
      <c r="R131" s="23"/>
      <c r="S131" s="23"/>
      <c r="T131" s="23"/>
      <c r="U131" s="23"/>
      <c r="V131" s="24"/>
      <c r="W131" s="24"/>
      <c r="X131" s="24"/>
      <c r="Y131" s="24"/>
      <c r="Z131" s="24"/>
      <c r="AA131" s="24"/>
      <c r="AB131" s="24"/>
      <c r="AC131" s="24"/>
      <c r="AD131" s="24"/>
      <c r="AE131" s="24"/>
      <c r="AF131" s="24"/>
      <c r="AG131" s="24"/>
      <c r="AH131" s="24"/>
      <c r="AI131" s="24"/>
      <c r="AJ131" s="24"/>
      <c r="AK131" s="24"/>
      <c r="AL131" s="24"/>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row>
    <row r="132" spans="1:114" s="26" customFormat="1" ht="15.75" customHeight="1">
      <c r="A132" s="109">
        <f aca="true" t="shared" si="18" ref="A132:B135">A131+1</f>
        <v>110</v>
      </c>
      <c r="B132" s="87">
        <f t="shared" si="18"/>
        <v>34</v>
      </c>
      <c r="C132" s="88" t="s">
        <v>113</v>
      </c>
      <c r="D132" s="89" t="s">
        <v>631</v>
      </c>
      <c r="E132" s="88" t="s">
        <v>425</v>
      </c>
      <c r="F132" s="90">
        <v>6038733</v>
      </c>
      <c r="G132" s="91"/>
      <c r="H132" s="92"/>
      <c r="I132" s="101"/>
      <c r="J132" s="22">
        <f t="shared" si="14"/>
        <v>6038733</v>
      </c>
      <c r="K132" s="22">
        <f t="shared" si="15"/>
        <v>0</v>
      </c>
      <c r="L132" s="23"/>
      <c r="M132" s="23"/>
      <c r="N132" s="23"/>
      <c r="O132" s="23"/>
      <c r="P132" s="23"/>
      <c r="Q132" s="23"/>
      <c r="R132" s="23"/>
      <c r="S132" s="23"/>
      <c r="T132" s="23"/>
      <c r="U132" s="23"/>
      <c r="V132" s="24"/>
      <c r="W132" s="24"/>
      <c r="X132" s="24"/>
      <c r="Y132" s="24"/>
      <c r="Z132" s="24"/>
      <c r="AA132" s="24"/>
      <c r="AB132" s="24"/>
      <c r="AC132" s="24"/>
      <c r="AD132" s="24"/>
      <c r="AE132" s="24"/>
      <c r="AF132" s="24"/>
      <c r="AG132" s="24"/>
      <c r="AH132" s="24"/>
      <c r="AI132" s="24"/>
      <c r="AJ132" s="24"/>
      <c r="AK132" s="24"/>
      <c r="AL132" s="24"/>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row>
    <row r="133" spans="1:114" s="34" customFormat="1" ht="15.75" customHeight="1">
      <c r="A133" s="109">
        <f t="shared" si="18"/>
        <v>111</v>
      </c>
      <c r="B133" s="87">
        <f t="shared" si="18"/>
        <v>35</v>
      </c>
      <c r="C133" s="88" t="s">
        <v>113</v>
      </c>
      <c r="D133" s="89" t="s">
        <v>632</v>
      </c>
      <c r="E133" s="88" t="s">
        <v>425</v>
      </c>
      <c r="F133" s="90">
        <v>5105109</v>
      </c>
      <c r="G133" s="91"/>
      <c r="H133" s="92"/>
      <c r="I133" s="93"/>
      <c r="J133" s="22">
        <f t="shared" si="14"/>
        <v>5105109</v>
      </c>
      <c r="K133" s="22">
        <f t="shared" si="15"/>
        <v>0</v>
      </c>
      <c r="L133" s="23"/>
      <c r="M133" s="23"/>
      <c r="N133" s="23"/>
      <c r="O133" s="23"/>
      <c r="P133" s="23"/>
      <c r="Q133" s="23"/>
      <c r="R133" s="23"/>
      <c r="S133" s="23"/>
      <c r="T133" s="23"/>
      <c r="U133" s="23"/>
      <c r="V133" s="24"/>
      <c r="W133" s="24"/>
      <c r="X133" s="24"/>
      <c r="Y133" s="24"/>
      <c r="Z133" s="24"/>
      <c r="AA133" s="24"/>
      <c r="AB133" s="24"/>
      <c r="AC133" s="24"/>
      <c r="AD133" s="24"/>
      <c r="AE133" s="24"/>
      <c r="AF133" s="24"/>
      <c r="AG133" s="24"/>
      <c r="AH133" s="24"/>
      <c r="AI133" s="24"/>
      <c r="AJ133" s="24"/>
      <c r="AK133" s="24"/>
      <c r="AL133" s="24"/>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row>
    <row r="134" spans="1:114" s="34" customFormat="1" ht="15.75" customHeight="1">
      <c r="A134" s="109">
        <f t="shared" si="18"/>
        <v>112</v>
      </c>
      <c r="B134" s="87">
        <f t="shared" si="18"/>
        <v>36</v>
      </c>
      <c r="C134" s="110" t="s">
        <v>113</v>
      </c>
      <c r="D134" s="89" t="s">
        <v>114</v>
      </c>
      <c r="E134" s="88" t="s">
        <v>425</v>
      </c>
      <c r="F134" s="90">
        <v>5017000</v>
      </c>
      <c r="G134" s="91"/>
      <c r="H134" s="92"/>
      <c r="I134" s="93"/>
      <c r="J134" s="22">
        <f t="shared" si="14"/>
        <v>5017000</v>
      </c>
      <c r="K134" s="22">
        <f t="shared" si="15"/>
        <v>0</v>
      </c>
      <c r="L134" s="23"/>
      <c r="M134" s="23"/>
      <c r="N134" s="23"/>
      <c r="O134" s="23"/>
      <c r="P134" s="23"/>
      <c r="Q134" s="23"/>
      <c r="R134" s="23"/>
      <c r="S134" s="23"/>
      <c r="T134" s="23"/>
      <c r="U134" s="23"/>
      <c r="V134" s="24"/>
      <c r="W134" s="24"/>
      <c r="X134" s="24"/>
      <c r="Y134" s="24"/>
      <c r="Z134" s="24"/>
      <c r="AA134" s="24"/>
      <c r="AB134" s="24"/>
      <c r="AC134" s="24"/>
      <c r="AD134" s="24"/>
      <c r="AE134" s="24"/>
      <c r="AF134" s="24"/>
      <c r="AG134" s="24"/>
      <c r="AH134" s="24"/>
      <c r="AI134" s="24"/>
      <c r="AJ134" s="24"/>
      <c r="AK134" s="24"/>
      <c r="AL134" s="24"/>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row>
    <row r="135" spans="1:114" s="34" customFormat="1" ht="15.75" customHeight="1">
      <c r="A135" s="112">
        <f t="shared" si="18"/>
        <v>113</v>
      </c>
      <c r="B135" s="113">
        <f t="shared" si="18"/>
        <v>37</v>
      </c>
      <c r="C135" s="114" t="s">
        <v>113</v>
      </c>
      <c r="D135" s="115" t="s">
        <v>633</v>
      </c>
      <c r="E135" s="114" t="s">
        <v>425</v>
      </c>
      <c r="F135" s="116">
        <v>2840000</v>
      </c>
      <c r="G135" s="117"/>
      <c r="H135" s="118"/>
      <c r="I135" s="119"/>
      <c r="J135" s="22">
        <f t="shared" si="14"/>
        <v>2840000</v>
      </c>
      <c r="K135" s="22">
        <f t="shared" si="15"/>
        <v>0</v>
      </c>
      <c r="L135" s="23"/>
      <c r="M135" s="23"/>
      <c r="N135" s="23"/>
      <c r="O135" s="23"/>
      <c r="P135" s="23"/>
      <c r="Q135" s="23"/>
      <c r="R135" s="23"/>
      <c r="S135" s="23"/>
      <c r="T135" s="23"/>
      <c r="U135" s="23"/>
      <c r="V135" s="24"/>
      <c r="W135" s="24"/>
      <c r="X135" s="24"/>
      <c r="Y135" s="24"/>
      <c r="Z135" s="24"/>
      <c r="AA135" s="24"/>
      <c r="AB135" s="24"/>
      <c r="AC135" s="24"/>
      <c r="AD135" s="24"/>
      <c r="AE135" s="24"/>
      <c r="AF135" s="24"/>
      <c r="AG135" s="24"/>
      <c r="AH135" s="24"/>
      <c r="AI135" s="24"/>
      <c r="AJ135" s="24"/>
      <c r="AK135" s="24"/>
      <c r="AL135" s="24"/>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row>
    <row r="136" spans="1:114" s="26" customFormat="1" ht="15.75" customHeight="1">
      <c r="A136" s="167" t="s">
        <v>115</v>
      </c>
      <c r="B136" s="168"/>
      <c r="C136" s="168"/>
      <c r="D136" s="168"/>
      <c r="E136" s="18"/>
      <c r="F136" s="19">
        <f>SUM(F99:F135)</f>
        <v>2625959062.458512</v>
      </c>
      <c r="G136" s="19"/>
      <c r="H136" s="20">
        <f>SUM(H99:H135)</f>
        <v>2692000000</v>
      </c>
      <c r="I136" s="21"/>
      <c r="J136" s="22"/>
      <c r="K136" s="33"/>
      <c r="L136" s="23"/>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row>
    <row r="137" spans="1:114" s="34" customFormat="1" ht="15.75" customHeight="1">
      <c r="A137" s="170">
        <v>1997</v>
      </c>
      <c r="B137" s="171"/>
      <c r="C137" s="171"/>
      <c r="D137" s="171"/>
      <c r="E137" s="171"/>
      <c r="F137" s="171"/>
      <c r="G137" s="171"/>
      <c r="H137" s="171"/>
      <c r="I137" s="172"/>
      <c r="J137" s="22">
        <f aca="true" t="shared" si="19" ref="J137:J169">+F137</f>
        <v>0</v>
      </c>
      <c r="K137" s="22">
        <f aca="true" t="shared" si="20" ref="K137:K169">+H137</f>
        <v>0</v>
      </c>
      <c r="L137" s="23"/>
      <c r="M137" s="23"/>
      <c r="N137" s="23"/>
      <c r="O137" s="23"/>
      <c r="P137" s="23"/>
      <c r="Q137" s="23"/>
      <c r="R137" s="23"/>
      <c r="S137" s="23"/>
      <c r="T137" s="23"/>
      <c r="U137" s="23"/>
      <c r="V137" s="24"/>
      <c r="W137" s="24"/>
      <c r="X137" s="24"/>
      <c r="Y137" s="24"/>
      <c r="Z137" s="24"/>
      <c r="AA137" s="24"/>
      <c r="AB137" s="24"/>
      <c r="AC137" s="24"/>
      <c r="AD137" s="24"/>
      <c r="AE137" s="24"/>
      <c r="AF137" s="24"/>
      <c r="AG137" s="24"/>
      <c r="AH137" s="24"/>
      <c r="AI137" s="24"/>
      <c r="AJ137" s="24"/>
      <c r="AK137" s="24"/>
      <c r="AL137" s="24"/>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row>
    <row r="138" spans="1:114" s="34" customFormat="1" ht="15.75" customHeight="1">
      <c r="A138" s="61">
        <f>A135+1</f>
        <v>114</v>
      </c>
      <c r="B138" s="62">
        <v>1</v>
      </c>
      <c r="C138" s="63" t="s">
        <v>116</v>
      </c>
      <c r="D138" s="64" t="s">
        <v>634</v>
      </c>
      <c r="E138" s="63" t="s">
        <v>428</v>
      </c>
      <c r="F138" s="84">
        <f>51283000*0.5</f>
        <v>25641500</v>
      </c>
      <c r="G138" s="85"/>
      <c r="H138" s="65">
        <f>51283000*0.5</f>
        <v>25641500</v>
      </c>
      <c r="I138" s="67" t="s">
        <v>498</v>
      </c>
      <c r="J138" s="22">
        <f t="shared" si="19"/>
        <v>25641500</v>
      </c>
      <c r="K138" s="22">
        <f t="shared" si="20"/>
        <v>25641500</v>
      </c>
      <c r="L138" s="23"/>
      <c r="M138" s="23"/>
      <c r="N138" s="23"/>
      <c r="O138" s="23"/>
      <c r="P138" s="23"/>
      <c r="Q138" s="23"/>
      <c r="R138" s="23"/>
      <c r="S138" s="23"/>
      <c r="T138" s="23"/>
      <c r="U138" s="23"/>
      <c r="V138" s="24"/>
      <c r="W138" s="24"/>
      <c r="X138" s="24"/>
      <c r="Y138" s="24"/>
      <c r="Z138" s="24"/>
      <c r="AA138" s="24"/>
      <c r="AB138" s="24"/>
      <c r="AC138" s="24"/>
      <c r="AD138" s="24"/>
      <c r="AE138" s="24"/>
      <c r="AF138" s="24"/>
      <c r="AG138" s="24"/>
      <c r="AH138" s="24"/>
      <c r="AI138" s="24"/>
      <c r="AJ138" s="24"/>
      <c r="AK138" s="24"/>
      <c r="AL138" s="24"/>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c r="CF138" s="25"/>
      <c r="CG138" s="25"/>
      <c r="CH138" s="25"/>
      <c r="CI138" s="25"/>
      <c r="CJ138" s="25"/>
      <c r="CK138" s="25"/>
      <c r="CL138" s="25"/>
      <c r="CM138" s="25"/>
      <c r="CN138" s="25"/>
      <c r="CO138" s="25"/>
      <c r="CP138" s="25"/>
      <c r="CQ138" s="25"/>
      <c r="CR138" s="25"/>
      <c r="CS138" s="25"/>
      <c r="CT138" s="25"/>
      <c r="CU138" s="25"/>
      <c r="CV138" s="25"/>
      <c r="CW138" s="25"/>
      <c r="CX138" s="25"/>
      <c r="CY138" s="25"/>
      <c r="CZ138" s="25"/>
      <c r="DA138" s="25"/>
      <c r="DB138" s="25"/>
      <c r="DC138" s="25"/>
      <c r="DD138" s="25"/>
      <c r="DE138" s="25"/>
      <c r="DF138" s="25"/>
      <c r="DG138" s="25"/>
      <c r="DH138" s="25"/>
      <c r="DI138" s="25"/>
      <c r="DJ138" s="25"/>
    </row>
    <row r="139" spans="1:114" s="34" customFormat="1" ht="15.75" customHeight="1">
      <c r="A139" s="109">
        <f aca="true" t="shared" si="21" ref="A139:B141">A138+1</f>
        <v>115</v>
      </c>
      <c r="B139" s="87">
        <f t="shared" si="21"/>
        <v>2</v>
      </c>
      <c r="C139" s="88" t="s">
        <v>117</v>
      </c>
      <c r="D139" s="89" t="s">
        <v>635</v>
      </c>
      <c r="E139" s="88" t="s">
        <v>427</v>
      </c>
      <c r="F139" s="90">
        <f>8050000+457416.04</f>
        <v>8507416.04</v>
      </c>
      <c r="G139" s="91"/>
      <c r="H139" s="92">
        <v>110200000</v>
      </c>
      <c r="I139" s="93" t="s">
        <v>498</v>
      </c>
      <c r="J139" s="22">
        <f t="shared" si="19"/>
        <v>8507416.04</v>
      </c>
      <c r="K139" s="22">
        <f t="shared" si="20"/>
        <v>110200000</v>
      </c>
      <c r="L139" s="23"/>
      <c r="M139" s="23"/>
      <c r="N139" s="23"/>
      <c r="O139" s="23"/>
      <c r="P139" s="23"/>
      <c r="Q139" s="23"/>
      <c r="R139" s="23"/>
      <c r="S139" s="23"/>
      <c r="T139" s="23"/>
      <c r="U139" s="23"/>
      <c r="V139" s="24"/>
      <c r="W139" s="24"/>
      <c r="X139" s="24"/>
      <c r="Y139" s="24"/>
      <c r="Z139" s="24"/>
      <c r="AA139" s="24"/>
      <c r="AB139" s="24"/>
      <c r="AC139" s="24"/>
      <c r="AD139" s="24"/>
      <c r="AE139" s="24"/>
      <c r="AF139" s="24"/>
      <c r="AG139" s="24"/>
      <c r="AH139" s="24"/>
      <c r="AI139" s="24"/>
      <c r="AJ139" s="24"/>
      <c r="AK139" s="24"/>
      <c r="AL139" s="24"/>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CI139" s="25"/>
      <c r="CJ139" s="25"/>
      <c r="CK139" s="25"/>
      <c r="CL139" s="25"/>
      <c r="CM139" s="25"/>
      <c r="CN139" s="25"/>
      <c r="CO139" s="25"/>
      <c r="CP139" s="25"/>
      <c r="CQ139" s="25"/>
      <c r="CR139" s="25"/>
      <c r="CS139" s="25"/>
      <c r="CT139" s="25"/>
      <c r="CU139" s="25"/>
      <c r="CV139" s="25"/>
      <c r="CW139" s="25"/>
      <c r="CX139" s="25"/>
      <c r="CY139" s="25"/>
      <c r="CZ139" s="25"/>
      <c r="DA139" s="25"/>
      <c r="DB139" s="25"/>
      <c r="DC139" s="25"/>
      <c r="DD139" s="25"/>
      <c r="DE139" s="25"/>
      <c r="DF139" s="25"/>
      <c r="DG139" s="25"/>
      <c r="DH139" s="25"/>
      <c r="DI139" s="25"/>
      <c r="DJ139" s="25"/>
    </row>
    <row r="140" spans="1:114" s="39" customFormat="1" ht="15.75" customHeight="1">
      <c r="A140" s="109">
        <f t="shared" si="21"/>
        <v>116</v>
      </c>
      <c r="B140" s="87">
        <f t="shared" si="21"/>
        <v>3</v>
      </c>
      <c r="C140" s="88" t="s">
        <v>117</v>
      </c>
      <c r="D140" s="89" t="s">
        <v>636</v>
      </c>
      <c r="E140" s="88" t="s">
        <v>427</v>
      </c>
      <c r="F140" s="90">
        <v>1050000</v>
      </c>
      <c r="G140" s="91"/>
      <c r="H140" s="92"/>
      <c r="I140" s="93"/>
      <c r="J140" s="22">
        <f t="shared" si="19"/>
        <v>1050000</v>
      </c>
      <c r="K140" s="22">
        <f t="shared" si="20"/>
        <v>0</v>
      </c>
      <c r="L140" s="23"/>
      <c r="M140" s="23"/>
      <c r="N140" s="23"/>
      <c r="O140" s="23"/>
      <c r="P140" s="23"/>
      <c r="Q140" s="23"/>
      <c r="R140" s="23"/>
      <c r="S140" s="23"/>
      <c r="T140" s="23"/>
      <c r="U140" s="23"/>
      <c r="V140" s="24"/>
      <c r="W140" s="24"/>
      <c r="X140" s="24"/>
      <c r="Y140" s="24"/>
      <c r="Z140" s="24"/>
      <c r="AA140" s="24"/>
      <c r="AB140" s="24"/>
      <c r="AC140" s="24"/>
      <c r="AD140" s="24"/>
      <c r="AE140" s="24"/>
      <c r="AF140" s="24"/>
      <c r="AG140" s="24"/>
      <c r="AH140" s="24"/>
      <c r="AI140" s="24"/>
      <c r="AJ140" s="24"/>
      <c r="AK140" s="24"/>
      <c r="AL140" s="24"/>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c r="DB140" s="25"/>
      <c r="DC140" s="25"/>
      <c r="DD140" s="25"/>
      <c r="DE140" s="25"/>
      <c r="DF140" s="25"/>
      <c r="DG140" s="25"/>
      <c r="DH140" s="25"/>
      <c r="DI140" s="25"/>
      <c r="DJ140" s="25"/>
    </row>
    <row r="141" spans="1:114" s="34" customFormat="1" ht="15.75" customHeight="1">
      <c r="A141" s="109">
        <f t="shared" si="21"/>
        <v>117</v>
      </c>
      <c r="B141" s="87">
        <f t="shared" si="21"/>
        <v>4</v>
      </c>
      <c r="C141" s="88" t="s">
        <v>118</v>
      </c>
      <c r="D141" s="89" t="s">
        <v>637</v>
      </c>
      <c r="E141" s="88" t="s">
        <v>119</v>
      </c>
      <c r="F141" s="90">
        <v>16000000</v>
      </c>
      <c r="G141" s="91"/>
      <c r="H141" s="92"/>
      <c r="I141" s="101"/>
      <c r="J141" s="22">
        <f t="shared" si="19"/>
        <v>16000000</v>
      </c>
      <c r="K141" s="22">
        <f t="shared" si="20"/>
        <v>0</v>
      </c>
      <c r="L141" s="23"/>
      <c r="M141" s="23"/>
      <c r="N141" s="23"/>
      <c r="O141" s="23"/>
      <c r="P141" s="23"/>
      <c r="Q141" s="23"/>
      <c r="R141" s="23"/>
      <c r="S141" s="23"/>
      <c r="T141" s="23"/>
      <c r="U141" s="23"/>
      <c r="V141" s="24"/>
      <c r="W141" s="24"/>
      <c r="X141" s="24"/>
      <c r="Y141" s="24"/>
      <c r="Z141" s="24"/>
      <c r="AA141" s="24"/>
      <c r="AB141" s="24"/>
      <c r="AC141" s="24"/>
      <c r="AD141" s="24"/>
      <c r="AE141" s="24"/>
      <c r="AF141" s="24"/>
      <c r="AG141" s="24"/>
      <c r="AH141" s="24"/>
      <c r="AI141" s="24"/>
      <c r="AJ141" s="24"/>
      <c r="AK141" s="24"/>
      <c r="AL141" s="24"/>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25"/>
      <c r="DE141" s="25"/>
      <c r="DF141" s="25"/>
      <c r="DG141" s="25"/>
      <c r="DH141" s="25"/>
      <c r="DI141" s="25"/>
      <c r="DJ141" s="25"/>
    </row>
    <row r="142" spans="1:114" s="34" customFormat="1" ht="15.75" customHeight="1">
      <c r="A142" s="109">
        <f aca="true" t="shared" si="22" ref="A142:B145">+A141+1</f>
        <v>118</v>
      </c>
      <c r="B142" s="87">
        <f t="shared" si="22"/>
        <v>5</v>
      </c>
      <c r="C142" s="88" t="s">
        <v>120</v>
      </c>
      <c r="D142" s="89" t="s">
        <v>638</v>
      </c>
      <c r="E142" s="88" t="s">
        <v>426</v>
      </c>
      <c r="F142" s="90">
        <v>1086403.39</v>
      </c>
      <c r="G142" s="91"/>
      <c r="H142" s="92"/>
      <c r="I142" s="93"/>
      <c r="J142" s="22">
        <f t="shared" si="19"/>
        <v>1086403.39</v>
      </c>
      <c r="K142" s="22">
        <f t="shared" si="20"/>
        <v>0</v>
      </c>
      <c r="L142" s="23"/>
      <c r="M142" s="23"/>
      <c r="N142" s="23"/>
      <c r="O142" s="23"/>
      <c r="P142" s="23"/>
      <c r="Q142" s="23"/>
      <c r="R142" s="23"/>
      <c r="S142" s="23"/>
      <c r="T142" s="23"/>
      <c r="U142" s="23"/>
      <c r="V142" s="24"/>
      <c r="W142" s="24"/>
      <c r="X142" s="24"/>
      <c r="Y142" s="24"/>
      <c r="Z142" s="24"/>
      <c r="AA142" s="24"/>
      <c r="AB142" s="24"/>
      <c r="AC142" s="24"/>
      <c r="AD142" s="24"/>
      <c r="AE142" s="24"/>
      <c r="AF142" s="24"/>
      <c r="AG142" s="24"/>
      <c r="AH142" s="24"/>
      <c r="AI142" s="24"/>
      <c r="AJ142" s="24"/>
      <c r="AK142" s="24"/>
      <c r="AL142" s="24"/>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25"/>
      <c r="CW142" s="25"/>
      <c r="CX142" s="25"/>
      <c r="CY142" s="25"/>
      <c r="CZ142" s="25"/>
      <c r="DA142" s="25"/>
      <c r="DB142" s="25"/>
      <c r="DC142" s="25"/>
      <c r="DD142" s="25"/>
      <c r="DE142" s="25"/>
      <c r="DF142" s="25"/>
      <c r="DG142" s="25"/>
      <c r="DH142" s="25"/>
      <c r="DI142" s="25"/>
      <c r="DJ142" s="25"/>
    </row>
    <row r="143" spans="1:114" s="34" customFormat="1" ht="15.75" customHeight="1">
      <c r="A143" s="109">
        <f t="shared" si="22"/>
        <v>119</v>
      </c>
      <c r="B143" s="87">
        <f t="shared" si="22"/>
        <v>6</v>
      </c>
      <c r="C143" s="110" t="s">
        <v>121</v>
      </c>
      <c r="D143" s="89" t="s">
        <v>639</v>
      </c>
      <c r="E143" s="88" t="s">
        <v>426</v>
      </c>
      <c r="F143" s="90">
        <v>13041016.95</v>
      </c>
      <c r="G143" s="91"/>
      <c r="H143" s="92"/>
      <c r="I143" s="93"/>
      <c r="J143" s="22">
        <f t="shared" si="19"/>
        <v>13041016.95</v>
      </c>
      <c r="K143" s="22">
        <f t="shared" si="20"/>
        <v>0</v>
      </c>
      <c r="L143" s="23"/>
      <c r="M143" s="23"/>
      <c r="N143" s="23"/>
      <c r="O143" s="23"/>
      <c r="P143" s="23"/>
      <c r="Q143" s="23"/>
      <c r="R143" s="23"/>
      <c r="S143" s="23"/>
      <c r="T143" s="23"/>
      <c r="U143" s="23"/>
      <c r="V143" s="24"/>
      <c r="W143" s="24"/>
      <c r="X143" s="24"/>
      <c r="Y143" s="24"/>
      <c r="Z143" s="24"/>
      <c r="AA143" s="24"/>
      <c r="AB143" s="24"/>
      <c r="AC143" s="24"/>
      <c r="AD143" s="24"/>
      <c r="AE143" s="24"/>
      <c r="AF143" s="24"/>
      <c r="AG143" s="24"/>
      <c r="AH143" s="24"/>
      <c r="AI143" s="24"/>
      <c r="AJ143" s="24"/>
      <c r="AK143" s="24"/>
      <c r="AL143" s="24"/>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5"/>
      <c r="CS143" s="25"/>
      <c r="CT143" s="25"/>
      <c r="CU143" s="25"/>
      <c r="CV143" s="25"/>
      <c r="CW143" s="25"/>
      <c r="CX143" s="25"/>
      <c r="CY143" s="25"/>
      <c r="CZ143" s="25"/>
      <c r="DA143" s="25"/>
      <c r="DB143" s="25"/>
      <c r="DC143" s="25"/>
      <c r="DD143" s="25"/>
      <c r="DE143" s="25"/>
      <c r="DF143" s="25"/>
      <c r="DG143" s="25"/>
      <c r="DH143" s="25"/>
      <c r="DI143" s="25"/>
      <c r="DJ143" s="25"/>
    </row>
    <row r="144" spans="1:114" s="34" customFormat="1" ht="15.75" customHeight="1">
      <c r="A144" s="109">
        <f t="shared" si="22"/>
        <v>120</v>
      </c>
      <c r="B144" s="87">
        <f t="shared" si="22"/>
        <v>7</v>
      </c>
      <c r="C144" s="88" t="s">
        <v>122</v>
      </c>
      <c r="D144" s="89" t="s">
        <v>640</v>
      </c>
      <c r="E144" s="88" t="s">
        <v>425</v>
      </c>
      <c r="F144" s="90">
        <v>5801777</v>
      </c>
      <c r="G144" s="91"/>
      <c r="H144" s="92"/>
      <c r="I144" s="101"/>
      <c r="J144" s="22">
        <f t="shared" si="19"/>
        <v>5801777</v>
      </c>
      <c r="K144" s="22">
        <f t="shared" si="20"/>
        <v>0</v>
      </c>
      <c r="L144" s="23"/>
      <c r="M144" s="23"/>
      <c r="N144" s="23"/>
      <c r="O144" s="23"/>
      <c r="P144" s="23"/>
      <c r="Q144" s="23"/>
      <c r="R144" s="23"/>
      <c r="S144" s="23"/>
      <c r="T144" s="23"/>
      <c r="U144" s="23"/>
      <c r="V144" s="24"/>
      <c r="W144" s="24"/>
      <c r="X144" s="24"/>
      <c r="Y144" s="24"/>
      <c r="Z144" s="24"/>
      <c r="AA144" s="24"/>
      <c r="AB144" s="24"/>
      <c r="AC144" s="24"/>
      <c r="AD144" s="24"/>
      <c r="AE144" s="24"/>
      <c r="AF144" s="24"/>
      <c r="AG144" s="24"/>
      <c r="AH144" s="24"/>
      <c r="AI144" s="24"/>
      <c r="AJ144" s="24"/>
      <c r="AK144" s="24"/>
      <c r="AL144" s="24"/>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5"/>
      <c r="CY144" s="25"/>
      <c r="CZ144" s="25"/>
      <c r="DA144" s="25"/>
      <c r="DB144" s="25"/>
      <c r="DC144" s="25"/>
      <c r="DD144" s="25"/>
      <c r="DE144" s="25"/>
      <c r="DF144" s="25"/>
      <c r="DG144" s="25"/>
      <c r="DH144" s="25"/>
      <c r="DI144" s="25"/>
      <c r="DJ144" s="25"/>
    </row>
    <row r="145" spans="1:114" s="34" customFormat="1" ht="15.75" customHeight="1">
      <c r="A145" s="109">
        <f t="shared" si="22"/>
        <v>121</v>
      </c>
      <c r="B145" s="87">
        <f t="shared" si="22"/>
        <v>8</v>
      </c>
      <c r="C145" s="88" t="s">
        <v>122</v>
      </c>
      <c r="D145" s="89" t="s">
        <v>123</v>
      </c>
      <c r="E145" s="88" t="s">
        <v>425</v>
      </c>
      <c r="F145" s="90">
        <v>5555000</v>
      </c>
      <c r="G145" s="91"/>
      <c r="H145" s="92"/>
      <c r="I145" s="93"/>
      <c r="J145" s="22">
        <f t="shared" si="19"/>
        <v>5555000</v>
      </c>
      <c r="K145" s="22">
        <f t="shared" si="20"/>
        <v>0</v>
      </c>
      <c r="L145" s="23"/>
      <c r="M145" s="23"/>
      <c r="N145" s="23"/>
      <c r="O145" s="23"/>
      <c r="P145" s="23"/>
      <c r="Q145" s="23"/>
      <c r="R145" s="23"/>
      <c r="S145" s="23"/>
      <c r="T145" s="23"/>
      <c r="U145" s="23"/>
      <c r="V145" s="24"/>
      <c r="W145" s="24"/>
      <c r="X145" s="24"/>
      <c r="Y145" s="24"/>
      <c r="Z145" s="24"/>
      <c r="AA145" s="24"/>
      <c r="AB145" s="24"/>
      <c r="AC145" s="24"/>
      <c r="AD145" s="24"/>
      <c r="AE145" s="24"/>
      <c r="AF145" s="24"/>
      <c r="AG145" s="24"/>
      <c r="AH145" s="24"/>
      <c r="AI145" s="24"/>
      <c r="AJ145" s="24"/>
      <c r="AK145" s="24"/>
      <c r="AL145" s="24"/>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25"/>
      <c r="DE145" s="25"/>
      <c r="DF145" s="25"/>
      <c r="DG145" s="25"/>
      <c r="DH145" s="25"/>
      <c r="DI145" s="25"/>
      <c r="DJ145" s="25"/>
    </row>
    <row r="146" spans="1:114" s="34" customFormat="1" ht="15.75" customHeight="1">
      <c r="A146" s="109">
        <f aca="true" t="shared" si="23" ref="A146:B152">A145+1</f>
        <v>122</v>
      </c>
      <c r="B146" s="87">
        <f t="shared" si="23"/>
        <v>9</v>
      </c>
      <c r="C146" s="88" t="s">
        <v>124</v>
      </c>
      <c r="D146" s="89" t="s">
        <v>641</v>
      </c>
      <c r="E146" s="88" t="s">
        <v>425</v>
      </c>
      <c r="F146" s="90">
        <v>870000</v>
      </c>
      <c r="G146" s="91"/>
      <c r="H146" s="92"/>
      <c r="I146" s="93"/>
      <c r="J146" s="22">
        <f t="shared" si="19"/>
        <v>870000</v>
      </c>
      <c r="K146" s="22">
        <f t="shared" si="20"/>
        <v>0</v>
      </c>
      <c r="L146" s="23"/>
      <c r="M146" s="23"/>
      <c r="N146" s="23"/>
      <c r="O146" s="23"/>
      <c r="P146" s="23"/>
      <c r="Q146" s="23"/>
      <c r="R146" s="23"/>
      <c r="S146" s="23"/>
      <c r="T146" s="23"/>
      <c r="U146" s="23"/>
      <c r="V146" s="24"/>
      <c r="W146" s="24"/>
      <c r="X146" s="24"/>
      <c r="Y146" s="24"/>
      <c r="Z146" s="24"/>
      <c r="AA146" s="24"/>
      <c r="AB146" s="24"/>
      <c r="AC146" s="24"/>
      <c r="AD146" s="24"/>
      <c r="AE146" s="24"/>
      <c r="AF146" s="24"/>
      <c r="AG146" s="24"/>
      <c r="AH146" s="24"/>
      <c r="AI146" s="24"/>
      <c r="AJ146" s="24"/>
      <c r="AK146" s="24"/>
      <c r="AL146" s="24"/>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row>
    <row r="147" spans="1:114" s="34" customFormat="1" ht="15.75" customHeight="1">
      <c r="A147" s="109">
        <f t="shared" si="23"/>
        <v>123</v>
      </c>
      <c r="B147" s="87">
        <f t="shared" si="23"/>
        <v>10</v>
      </c>
      <c r="C147" s="88" t="s">
        <v>314</v>
      </c>
      <c r="D147" s="89" t="s">
        <v>642</v>
      </c>
      <c r="E147" s="88" t="s">
        <v>427</v>
      </c>
      <c r="F147" s="90">
        <f>105000+840000</f>
        <v>945000</v>
      </c>
      <c r="G147" s="91"/>
      <c r="H147" s="92">
        <v>1900000</v>
      </c>
      <c r="I147" s="93" t="s">
        <v>498</v>
      </c>
      <c r="J147" s="22">
        <f t="shared" si="19"/>
        <v>945000</v>
      </c>
      <c r="K147" s="22">
        <f t="shared" si="20"/>
        <v>1900000</v>
      </c>
      <c r="L147" s="23"/>
      <c r="M147" s="23"/>
      <c r="N147" s="23"/>
      <c r="O147" s="23"/>
      <c r="P147" s="23"/>
      <c r="Q147" s="23"/>
      <c r="R147" s="23"/>
      <c r="S147" s="23"/>
      <c r="T147" s="23"/>
      <c r="U147" s="23"/>
      <c r="V147" s="24"/>
      <c r="W147" s="24"/>
      <c r="X147" s="24"/>
      <c r="Y147" s="24"/>
      <c r="Z147" s="24"/>
      <c r="AA147" s="24"/>
      <c r="AB147" s="24"/>
      <c r="AC147" s="24"/>
      <c r="AD147" s="24"/>
      <c r="AE147" s="24"/>
      <c r="AF147" s="24"/>
      <c r="AG147" s="24"/>
      <c r="AH147" s="24"/>
      <c r="AI147" s="24"/>
      <c r="AJ147" s="24"/>
      <c r="AK147" s="24"/>
      <c r="AL147" s="24"/>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25"/>
      <c r="DE147" s="25"/>
      <c r="DF147" s="25"/>
      <c r="DG147" s="25"/>
      <c r="DH147" s="25"/>
      <c r="DI147" s="25"/>
      <c r="DJ147" s="25"/>
    </row>
    <row r="148" spans="1:114" s="34" customFormat="1" ht="15.75" customHeight="1">
      <c r="A148" s="109">
        <f t="shared" si="23"/>
        <v>124</v>
      </c>
      <c r="B148" s="87">
        <f t="shared" si="23"/>
        <v>11</v>
      </c>
      <c r="C148" s="88" t="s">
        <v>313</v>
      </c>
      <c r="D148" s="89" t="s">
        <v>342</v>
      </c>
      <c r="E148" s="88" t="s">
        <v>425</v>
      </c>
      <c r="F148" s="90">
        <v>7500010</v>
      </c>
      <c r="G148" s="91"/>
      <c r="H148" s="92"/>
      <c r="I148" s="93"/>
      <c r="J148" s="22">
        <f t="shared" si="19"/>
        <v>7500010</v>
      </c>
      <c r="K148" s="22">
        <f t="shared" si="20"/>
        <v>0</v>
      </c>
      <c r="L148" s="23"/>
      <c r="M148" s="23"/>
      <c r="N148" s="23"/>
      <c r="O148" s="23"/>
      <c r="P148" s="23"/>
      <c r="Q148" s="23"/>
      <c r="R148" s="23"/>
      <c r="S148" s="23"/>
      <c r="T148" s="23"/>
      <c r="U148" s="23"/>
      <c r="V148" s="24"/>
      <c r="W148" s="24"/>
      <c r="X148" s="24"/>
      <c r="Y148" s="24"/>
      <c r="Z148" s="24"/>
      <c r="AA148" s="24"/>
      <c r="AB148" s="24"/>
      <c r="AC148" s="24"/>
      <c r="AD148" s="24"/>
      <c r="AE148" s="24"/>
      <c r="AF148" s="24"/>
      <c r="AG148" s="24"/>
      <c r="AH148" s="24"/>
      <c r="AI148" s="24"/>
      <c r="AJ148" s="24"/>
      <c r="AK148" s="24"/>
      <c r="AL148" s="24"/>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25"/>
      <c r="CP148" s="25"/>
      <c r="CQ148" s="25"/>
      <c r="CR148" s="25"/>
      <c r="CS148" s="25"/>
      <c r="CT148" s="25"/>
      <c r="CU148" s="25"/>
      <c r="CV148" s="25"/>
      <c r="CW148" s="25"/>
      <c r="CX148" s="25"/>
      <c r="CY148" s="25"/>
      <c r="CZ148" s="25"/>
      <c r="DA148" s="25"/>
      <c r="DB148" s="25"/>
      <c r="DC148" s="25"/>
      <c r="DD148" s="25"/>
      <c r="DE148" s="25"/>
      <c r="DF148" s="25"/>
      <c r="DG148" s="25"/>
      <c r="DH148" s="25"/>
      <c r="DI148" s="25"/>
      <c r="DJ148" s="25"/>
    </row>
    <row r="149" spans="1:114" s="34" customFormat="1" ht="15.75" customHeight="1">
      <c r="A149" s="109">
        <f t="shared" si="23"/>
        <v>125</v>
      </c>
      <c r="B149" s="87">
        <f t="shared" si="23"/>
        <v>12</v>
      </c>
      <c r="C149" s="88" t="s">
        <v>313</v>
      </c>
      <c r="D149" s="89" t="s">
        <v>358</v>
      </c>
      <c r="E149" s="88" t="s">
        <v>425</v>
      </c>
      <c r="F149" s="90">
        <v>7040000</v>
      </c>
      <c r="G149" s="91"/>
      <c r="H149" s="92"/>
      <c r="I149" s="93"/>
      <c r="J149" s="22">
        <f t="shared" si="19"/>
        <v>7040000</v>
      </c>
      <c r="K149" s="22">
        <f t="shared" si="20"/>
        <v>0</v>
      </c>
      <c r="L149" s="23"/>
      <c r="M149" s="23"/>
      <c r="N149" s="23"/>
      <c r="O149" s="23"/>
      <c r="P149" s="23"/>
      <c r="Q149" s="23"/>
      <c r="R149" s="23"/>
      <c r="S149" s="23"/>
      <c r="T149" s="23"/>
      <c r="U149" s="23"/>
      <c r="V149" s="24"/>
      <c r="W149" s="24"/>
      <c r="X149" s="24"/>
      <c r="Y149" s="24"/>
      <c r="Z149" s="24"/>
      <c r="AA149" s="24"/>
      <c r="AB149" s="24"/>
      <c r="AC149" s="24"/>
      <c r="AD149" s="24"/>
      <c r="AE149" s="24"/>
      <c r="AF149" s="24"/>
      <c r="AG149" s="24"/>
      <c r="AH149" s="24"/>
      <c r="AI149" s="24"/>
      <c r="AJ149" s="24"/>
      <c r="AK149" s="24"/>
      <c r="AL149" s="24"/>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c r="CC149" s="25"/>
      <c r="CD149" s="25"/>
      <c r="CE149" s="25"/>
      <c r="CF149" s="25"/>
      <c r="CG149" s="25"/>
      <c r="CH149" s="25"/>
      <c r="CI149" s="25"/>
      <c r="CJ149" s="25"/>
      <c r="CK149" s="25"/>
      <c r="CL149" s="25"/>
      <c r="CM149" s="25"/>
      <c r="CN149" s="25"/>
      <c r="CO149" s="25"/>
      <c r="CP149" s="25"/>
      <c r="CQ149" s="25"/>
      <c r="CR149" s="25"/>
      <c r="CS149" s="25"/>
      <c r="CT149" s="25"/>
      <c r="CU149" s="25"/>
      <c r="CV149" s="25"/>
      <c r="CW149" s="25"/>
      <c r="CX149" s="25"/>
      <c r="CY149" s="25"/>
      <c r="CZ149" s="25"/>
      <c r="DA149" s="25"/>
      <c r="DB149" s="25"/>
      <c r="DC149" s="25"/>
      <c r="DD149" s="25"/>
      <c r="DE149" s="25"/>
      <c r="DF149" s="25"/>
      <c r="DG149" s="25"/>
      <c r="DH149" s="25"/>
      <c r="DI149" s="25"/>
      <c r="DJ149" s="25"/>
    </row>
    <row r="150" spans="1:114" s="34" customFormat="1" ht="15.75" customHeight="1">
      <c r="A150" s="109">
        <f t="shared" si="23"/>
        <v>126</v>
      </c>
      <c r="B150" s="87">
        <f t="shared" si="23"/>
        <v>13</v>
      </c>
      <c r="C150" s="88" t="s">
        <v>313</v>
      </c>
      <c r="D150" s="89" t="s">
        <v>643</v>
      </c>
      <c r="E150" s="88" t="s">
        <v>426</v>
      </c>
      <c r="F150" s="90">
        <v>737711.86</v>
      </c>
      <c r="G150" s="91"/>
      <c r="H150" s="92"/>
      <c r="I150" s="93"/>
      <c r="J150" s="22">
        <f t="shared" si="19"/>
        <v>737711.86</v>
      </c>
      <c r="K150" s="22">
        <f t="shared" si="20"/>
        <v>0</v>
      </c>
      <c r="L150" s="23"/>
      <c r="M150" s="23"/>
      <c r="N150" s="23"/>
      <c r="O150" s="23"/>
      <c r="P150" s="23"/>
      <c r="Q150" s="23"/>
      <c r="R150" s="23"/>
      <c r="S150" s="23"/>
      <c r="T150" s="23"/>
      <c r="U150" s="23"/>
      <c r="V150" s="24"/>
      <c r="W150" s="24"/>
      <c r="X150" s="24"/>
      <c r="Y150" s="24"/>
      <c r="Z150" s="24"/>
      <c r="AA150" s="24"/>
      <c r="AB150" s="24"/>
      <c r="AC150" s="24"/>
      <c r="AD150" s="24"/>
      <c r="AE150" s="24"/>
      <c r="AF150" s="24"/>
      <c r="AG150" s="24"/>
      <c r="AH150" s="24"/>
      <c r="AI150" s="24"/>
      <c r="AJ150" s="24"/>
      <c r="AK150" s="24"/>
      <c r="AL150" s="24"/>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c r="CI150" s="25"/>
      <c r="CJ150" s="25"/>
      <c r="CK150" s="25"/>
      <c r="CL150" s="25"/>
      <c r="CM150" s="25"/>
      <c r="CN150" s="25"/>
      <c r="CO150" s="25"/>
      <c r="CP150" s="25"/>
      <c r="CQ150" s="25"/>
      <c r="CR150" s="25"/>
      <c r="CS150" s="25"/>
      <c r="CT150" s="25"/>
      <c r="CU150" s="25"/>
      <c r="CV150" s="25"/>
      <c r="CW150" s="25"/>
      <c r="CX150" s="25"/>
      <c r="CY150" s="25"/>
      <c r="CZ150" s="25"/>
      <c r="DA150" s="25"/>
      <c r="DB150" s="25"/>
      <c r="DC150" s="25"/>
      <c r="DD150" s="25"/>
      <c r="DE150" s="25"/>
      <c r="DF150" s="25"/>
      <c r="DG150" s="25"/>
      <c r="DH150" s="25"/>
      <c r="DI150" s="25"/>
      <c r="DJ150" s="25"/>
    </row>
    <row r="151" spans="1:114" s="40" customFormat="1" ht="15.75" customHeight="1">
      <c r="A151" s="109">
        <f t="shared" si="23"/>
        <v>127</v>
      </c>
      <c r="B151" s="87">
        <f t="shared" si="23"/>
        <v>14</v>
      </c>
      <c r="C151" s="88" t="s">
        <v>317</v>
      </c>
      <c r="D151" s="89" t="s">
        <v>644</v>
      </c>
      <c r="E151" s="88" t="s">
        <v>427</v>
      </c>
      <c r="F151" s="90">
        <v>121521329</v>
      </c>
      <c r="G151" s="91"/>
      <c r="H151" s="92"/>
      <c r="I151" s="93"/>
      <c r="J151" s="22">
        <f t="shared" si="19"/>
        <v>121521329</v>
      </c>
      <c r="K151" s="22">
        <f t="shared" si="20"/>
        <v>0</v>
      </c>
      <c r="L151" s="23"/>
      <c r="M151" s="23"/>
      <c r="N151" s="23"/>
      <c r="O151" s="23"/>
      <c r="P151" s="23"/>
      <c r="Q151" s="23"/>
      <c r="R151" s="23"/>
      <c r="S151" s="23"/>
      <c r="T151" s="23"/>
      <c r="U151" s="23"/>
      <c r="V151" s="24"/>
      <c r="W151" s="24"/>
      <c r="X151" s="24"/>
      <c r="Y151" s="24"/>
      <c r="Z151" s="24"/>
      <c r="AA151" s="24"/>
      <c r="AB151" s="24"/>
      <c r="AC151" s="24"/>
      <c r="AD151" s="24"/>
      <c r="AE151" s="24"/>
      <c r="AF151" s="24"/>
      <c r="AG151" s="24"/>
      <c r="AH151" s="24"/>
      <c r="AI151" s="24"/>
      <c r="AJ151" s="24"/>
      <c r="AK151" s="24"/>
      <c r="AL151" s="24"/>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25"/>
      <c r="CO151" s="25"/>
      <c r="CP151" s="25"/>
      <c r="CQ151" s="25"/>
      <c r="CR151" s="25"/>
      <c r="CS151" s="25"/>
      <c r="CT151" s="25"/>
      <c r="CU151" s="25"/>
      <c r="CV151" s="25"/>
      <c r="CW151" s="25"/>
      <c r="CX151" s="25"/>
      <c r="CY151" s="25"/>
      <c r="CZ151" s="25"/>
      <c r="DA151" s="25"/>
      <c r="DB151" s="25"/>
      <c r="DC151" s="25"/>
      <c r="DD151" s="25"/>
      <c r="DE151" s="25"/>
      <c r="DF151" s="25"/>
      <c r="DG151" s="25"/>
      <c r="DH151" s="25"/>
      <c r="DI151" s="25"/>
      <c r="DJ151" s="25"/>
    </row>
    <row r="152" spans="1:114" s="41" customFormat="1" ht="15.75" customHeight="1">
      <c r="A152" s="109">
        <f t="shared" si="23"/>
        <v>128</v>
      </c>
      <c r="B152" s="87">
        <f t="shared" si="23"/>
        <v>15</v>
      </c>
      <c r="C152" s="88" t="s">
        <v>315</v>
      </c>
      <c r="D152" s="89" t="s">
        <v>645</v>
      </c>
      <c r="E152" s="88" t="s">
        <v>427</v>
      </c>
      <c r="F152" s="90">
        <v>127777777</v>
      </c>
      <c r="G152" s="91"/>
      <c r="H152" s="92">
        <v>60000000</v>
      </c>
      <c r="I152" s="93" t="s">
        <v>498</v>
      </c>
      <c r="J152" s="22">
        <f t="shared" si="19"/>
        <v>127777777</v>
      </c>
      <c r="K152" s="22">
        <f t="shared" si="20"/>
        <v>60000000</v>
      </c>
      <c r="L152" s="23"/>
      <c r="M152" s="23"/>
      <c r="N152" s="23"/>
      <c r="O152" s="23"/>
      <c r="P152" s="23"/>
      <c r="Q152" s="23"/>
      <c r="R152" s="23"/>
      <c r="S152" s="23"/>
      <c r="T152" s="23"/>
      <c r="U152" s="23"/>
      <c r="V152" s="24"/>
      <c r="W152" s="24"/>
      <c r="X152" s="24"/>
      <c r="Y152" s="24"/>
      <c r="Z152" s="24"/>
      <c r="AA152" s="24"/>
      <c r="AB152" s="24"/>
      <c r="AC152" s="24"/>
      <c r="AD152" s="24"/>
      <c r="AE152" s="24"/>
      <c r="AF152" s="24"/>
      <c r="AG152" s="24"/>
      <c r="AH152" s="24"/>
      <c r="AI152" s="24"/>
      <c r="AJ152" s="24"/>
      <c r="AK152" s="24"/>
      <c r="AL152" s="24"/>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25"/>
      <c r="CH152" s="25"/>
      <c r="CI152" s="25"/>
      <c r="CJ152" s="25"/>
      <c r="CK152" s="25"/>
      <c r="CL152" s="25"/>
      <c r="CM152" s="25"/>
      <c r="CN152" s="25"/>
      <c r="CO152" s="25"/>
      <c r="CP152" s="25"/>
      <c r="CQ152" s="25"/>
      <c r="CR152" s="25"/>
      <c r="CS152" s="25"/>
      <c r="CT152" s="25"/>
      <c r="CU152" s="25"/>
      <c r="CV152" s="25"/>
      <c r="CW152" s="25"/>
      <c r="CX152" s="25"/>
      <c r="CY152" s="25"/>
      <c r="CZ152" s="25"/>
      <c r="DA152" s="25"/>
      <c r="DB152" s="25"/>
      <c r="DC152" s="25"/>
      <c r="DD152" s="25"/>
      <c r="DE152" s="25"/>
      <c r="DF152" s="25"/>
      <c r="DG152" s="25"/>
      <c r="DH152" s="25"/>
      <c r="DI152" s="25"/>
      <c r="DJ152" s="25"/>
    </row>
    <row r="153" spans="1:114" s="34" customFormat="1" ht="15.75" customHeight="1">
      <c r="A153" s="109">
        <f aca="true" t="shared" si="24" ref="A153:B163">+A152+1</f>
        <v>129</v>
      </c>
      <c r="B153" s="87">
        <f t="shared" si="24"/>
        <v>16</v>
      </c>
      <c r="C153" s="88" t="s">
        <v>322</v>
      </c>
      <c r="D153" s="89" t="s">
        <v>646</v>
      </c>
      <c r="E153" s="88" t="s">
        <v>425</v>
      </c>
      <c r="F153" s="90">
        <v>8766666</v>
      </c>
      <c r="G153" s="91"/>
      <c r="H153" s="92"/>
      <c r="I153" s="93"/>
      <c r="J153" s="22">
        <f t="shared" si="19"/>
        <v>8766666</v>
      </c>
      <c r="K153" s="22">
        <f t="shared" si="20"/>
        <v>0</v>
      </c>
      <c r="L153" s="23"/>
      <c r="M153" s="23"/>
      <c r="N153" s="23"/>
      <c r="O153" s="23"/>
      <c r="P153" s="23"/>
      <c r="Q153" s="23"/>
      <c r="R153" s="23"/>
      <c r="S153" s="23"/>
      <c r="T153" s="23"/>
      <c r="U153" s="23"/>
      <c r="V153" s="24"/>
      <c r="W153" s="24"/>
      <c r="X153" s="24"/>
      <c r="Y153" s="24"/>
      <c r="Z153" s="24"/>
      <c r="AA153" s="24"/>
      <c r="AB153" s="24"/>
      <c r="AC153" s="24"/>
      <c r="AD153" s="24"/>
      <c r="AE153" s="24"/>
      <c r="AF153" s="24"/>
      <c r="AG153" s="24"/>
      <c r="AH153" s="24"/>
      <c r="AI153" s="24"/>
      <c r="AJ153" s="24"/>
      <c r="AK153" s="24"/>
      <c r="AL153" s="24"/>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25"/>
      <c r="CW153" s="25"/>
      <c r="CX153" s="25"/>
      <c r="CY153" s="25"/>
      <c r="CZ153" s="25"/>
      <c r="DA153" s="25"/>
      <c r="DB153" s="25"/>
      <c r="DC153" s="25"/>
      <c r="DD153" s="25"/>
      <c r="DE153" s="25"/>
      <c r="DF153" s="25"/>
      <c r="DG153" s="25"/>
      <c r="DH153" s="25"/>
      <c r="DI153" s="25"/>
      <c r="DJ153" s="25"/>
    </row>
    <row r="154" spans="1:114" s="42" customFormat="1" ht="15.75" customHeight="1">
      <c r="A154" s="109">
        <f t="shared" si="24"/>
        <v>130</v>
      </c>
      <c r="B154" s="87">
        <f t="shared" si="24"/>
        <v>17</v>
      </c>
      <c r="C154" s="88" t="s">
        <v>323</v>
      </c>
      <c r="D154" s="89" t="s">
        <v>324</v>
      </c>
      <c r="E154" s="88" t="s">
        <v>426</v>
      </c>
      <c r="F154" s="90">
        <f>4559+20000+35116+3050000</f>
        <v>3109675</v>
      </c>
      <c r="G154" s="91"/>
      <c r="H154" s="92"/>
      <c r="I154" s="101"/>
      <c r="J154" s="22">
        <f t="shared" si="19"/>
        <v>3109675</v>
      </c>
      <c r="K154" s="22">
        <f t="shared" si="20"/>
        <v>0</v>
      </c>
      <c r="L154" s="23"/>
      <c r="M154" s="23"/>
      <c r="N154" s="23"/>
      <c r="O154" s="23"/>
      <c r="P154" s="23"/>
      <c r="Q154" s="23"/>
      <c r="R154" s="23"/>
      <c r="S154" s="23"/>
      <c r="T154" s="23"/>
      <c r="U154" s="23"/>
      <c r="V154" s="24"/>
      <c r="W154" s="24"/>
      <c r="X154" s="24"/>
      <c r="Y154" s="24"/>
      <c r="Z154" s="24"/>
      <c r="AA154" s="24"/>
      <c r="AB154" s="24"/>
      <c r="AC154" s="24"/>
      <c r="AD154" s="24"/>
      <c r="AE154" s="24"/>
      <c r="AF154" s="24"/>
      <c r="AG154" s="24"/>
      <c r="AH154" s="24"/>
      <c r="AI154" s="24"/>
      <c r="AJ154" s="24"/>
      <c r="AK154" s="24"/>
      <c r="AL154" s="24"/>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row>
    <row r="155" spans="1:114" s="43" customFormat="1" ht="15.75" customHeight="1">
      <c r="A155" s="109">
        <f t="shared" si="24"/>
        <v>131</v>
      </c>
      <c r="B155" s="87">
        <f t="shared" si="24"/>
        <v>18</v>
      </c>
      <c r="C155" s="88" t="s">
        <v>329</v>
      </c>
      <c r="D155" s="89" t="s">
        <v>647</v>
      </c>
      <c r="E155" s="88" t="s">
        <v>3</v>
      </c>
      <c r="F155" s="90">
        <v>22133189.6</v>
      </c>
      <c r="G155" s="91"/>
      <c r="H155" s="92">
        <v>11751403</v>
      </c>
      <c r="I155" s="101" t="s">
        <v>498</v>
      </c>
      <c r="J155" s="22">
        <f t="shared" si="19"/>
        <v>22133189.6</v>
      </c>
      <c r="K155" s="22">
        <f t="shared" si="20"/>
        <v>11751403</v>
      </c>
      <c r="L155" s="23"/>
      <c r="M155" s="23"/>
      <c r="N155" s="23"/>
      <c r="O155" s="23"/>
      <c r="P155" s="23"/>
      <c r="Q155" s="23"/>
      <c r="R155" s="23"/>
      <c r="S155" s="23"/>
      <c r="T155" s="23"/>
      <c r="U155" s="23"/>
      <c r="V155" s="24"/>
      <c r="W155" s="24"/>
      <c r="X155" s="24"/>
      <c r="Y155" s="24"/>
      <c r="Z155" s="24"/>
      <c r="AA155" s="24"/>
      <c r="AB155" s="24"/>
      <c r="AC155" s="24"/>
      <c r="AD155" s="24"/>
      <c r="AE155" s="24"/>
      <c r="AF155" s="24"/>
      <c r="AG155" s="24"/>
      <c r="AH155" s="24"/>
      <c r="AI155" s="24"/>
      <c r="AJ155" s="24"/>
      <c r="AK155" s="24"/>
      <c r="AL155" s="24"/>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c r="CG155" s="25"/>
      <c r="CH155" s="25"/>
      <c r="CI155" s="25"/>
      <c r="CJ155" s="25"/>
      <c r="CK155" s="25"/>
      <c r="CL155" s="25"/>
      <c r="CM155" s="25"/>
      <c r="CN155" s="25"/>
      <c r="CO155" s="25"/>
      <c r="CP155" s="25"/>
      <c r="CQ155" s="25"/>
      <c r="CR155" s="25"/>
      <c r="CS155" s="25"/>
      <c r="CT155" s="25"/>
      <c r="CU155" s="25"/>
      <c r="CV155" s="25"/>
      <c r="CW155" s="25"/>
      <c r="CX155" s="25"/>
      <c r="CY155" s="25"/>
      <c r="CZ155" s="25"/>
      <c r="DA155" s="25"/>
      <c r="DB155" s="25"/>
      <c r="DC155" s="25"/>
      <c r="DD155" s="25"/>
      <c r="DE155" s="25"/>
      <c r="DF155" s="25"/>
      <c r="DG155" s="25"/>
      <c r="DH155" s="25"/>
      <c r="DI155" s="25"/>
      <c r="DJ155" s="25"/>
    </row>
    <row r="156" spans="1:114" s="44" customFormat="1" ht="15.75" customHeight="1">
      <c r="A156" s="109">
        <f t="shared" si="24"/>
        <v>132</v>
      </c>
      <c r="B156" s="87">
        <f t="shared" si="24"/>
        <v>19</v>
      </c>
      <c r="C156" s="88" t="s">
        <v>325</v>
      </c>
      <c r="D156" s="89" t="s">
        <v>326</v>
      </c>
      <c r="E156" s="88" t="s">
        <v>426</v>
      </c>
      <c r="F156" s="90">
        <v>279444.87</v>
      </c>
      <c r="G156" s="91"/>
      <c r="H156" s="92"/>
      <c r="I156" s="93"/>
      <c r="J156" s="22">
        <f t="shared" si="19"/>
        <v>279444.87</v>
      </c>
      <c r="K156" s="22">
        <f t="shared" si="20"/>
        <v>0</v>
      </c>
      <c r="L156" s="23"/>
      <c r="M156" s="23"/>
      <c r="N156" s="23"/>
      <c r="O156" s="23"/>
      <c r="P156" s="23"/>
      <c r="Q156" s="23"/>
      <c r="R156" s="23"/>
      <c r="S156" s="23"/>
      <c r="T156" s="23"/>
      <c r="U156" s="23"/>
      <c r="V156" s="24"/>
      <c r="W156" s="24"/>
      <c r="X156" s="24"/>
      <c r="Y156" s="24"/>
      <c r="Z156" s="24"/>
      <c r="AA156" s="24"/>
      <c r="AB156" s="24"/>
      <c r="AC156" s="24"/>
      <c r="AD156" s="24"/>
      <c r="AE156" s="24"/>
      <c r="AF156" s="24"/>
      <c r="AG156" s="24"/>
      <c r="AH156" s="24"/>
      <c r="AI156" s="24"/>
      <c r="AJ156" s="24"/>
      <c r="AK156" s="24"/>
      <c r="AL156" s="24"/>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c r="CC156" s="25"/>
      <c r="CD156" s="25"/>
      <c r="CE156" s="25"/>
      <c r="CF156" s="25"/>
      <c r="CG156" s="25"/>
      <c r="CH156" s="25"/>
      <c r="CI156" s="25"/>
      <c r="CJ156" s="25"/>
      <c r="CK156" s="25"/>
      <c r="CL156" s="25"/>
      <c r="CM156" s="25"/>
      <c r="CN156" s="25"/>
      <c r="CO156" s="25"/>
      <c r="CP156" s="25"/>
      <c r="CQ156" s="25"/>
      <c r="CR156" s="25"/>
      <c r="CS156" s="25"/>
      <c r="CT156" s="25"/>
      <c r="CU156" s="25"/>
      <c r="CV156" s="25"/>
      <c r="CW156" s="25"/>
      <c r="CX156" s="25"/>
      <c r="CY156" s="25"/>
      <c r="CZ156" s="25"/>
      <c r="DA156" s="25"/>
      <c r="DB156" s="25"/>
      <c r="DC156" s="25"/>
      <c r="DD156" s="25"/>
      <c r="DE156" s="25"/>
      <c r="DF156" s="25"/>
      <c r="DG156" s="25"/>
      <c r="DH156" s="25"/>
      <c r="DI156" s="25"/>
      <c r="DJ156" s="25"/>
    </row>
    <row r="157" spans="1:114" s="44" customFormat="1" ht="15.75" customHeight="1">
      <c r="A157" s="111">
        <f t="shared" si="24"/>
        <v>133</v>
      </c>
      <c r="B157" s="95">
        <f t="shared" si="24"/>
        <v>20</v>
      </c>
      <c r="C157" s="96" t="s">
        <v>334</v>
      </c>
      <c r="D157" s="97" t="s">
        <v>648</v>
      </c>
      <c r="E157" s="96" t="s">
        <v>427</v>
      </c>
      <c r="F157" s="98">
        <f>650005+100000</f>
        <v>750005</v>
      </c>
      <c r="G157" s="99"/>
      <c r="H157" s="92">
        <v>770000</v>
      </c>
      <c r="I157" s="93" t="s">
        <v>498</v>
      </c>
      <c r="J157" s="22">
        <f t="shared" si="19"/>
        <v>750005</v>
      </c>
      <c r="K157" s="22">
        <f t="shared" si="20"/>
        <v>770000</v>
      </c>
      <c r="L157" s="23"/>
      <c r="M157" s="23"/>
      <c r="N157" s="23"/>
      <c r="O157" s="23"/>
      <c r="P157" s="23"/>
      <c r="Q157" s="23"/>
      <c r="R157" s="23"/>
      <c r="S157" s="23"/>
      <c r="T157" s="23"/>
      <c r="U157" s="23"/>
      <c r="V157" s="24"/>
      <c r="W157" s="24"/>
      <c r="X157" s="24"/>
      <c r="Y157" s="24"/>
      <c r="Z157" s="24"/>
      <c r="AA157" s="24"/>
      <c r="AB157" s="24"/>
      <c r="AC157" s="24"/>
      <c r="AD157" s="24"/>
      <c r="AE157" s="24"/>
      <c r="AF157" s="24"/>
      <c r="AG157" s="24"/>
      <c r="AH157" s="24"/>
      <c r="AI157" s="24"/>
      <c r="AJ157" s="24"/>
      <c r="AK157" s="24"/>
      <c r="AL157" s="24"/>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c r="CC157" s="25"/>
      <c r="CD157" s="25"/>
      <c r="CE157" s="25"/>
      <c r="CF157" s="25"/>
      <c r="CG157" s="25"/>
      <c r="CH157" s="25"/>
      <c r="CI157" s="25"/>
      <c r="CJ157" s="25"/>
      <c r="CK157" s="25"/>
      <c r="CL157" s="25"/>
      <c r="CM157" s="25"/>
      <c r="CN157" s="25"/>
      <c r="CO157" s="25"/>
      <c r="CP157" s="25"/>
      <c r="CQ157" s="25"/>
      <c r="CR157" s="25"/>
      <c r="CS157" s="25"/>
      <c r="CT157" s="25"/>
      <c r="CU157" s="25"/>
      <c r="CV157" s="25"/>
      <c r="CW157" s="25"/>
      <c r="CX157" s="25"/>
      <c r="CY157" s="25"/>
      <c r="CZ157" s="25"/>
      <c r="DA157" s="25"/>
      <c r="DB157" s="25"/>
      <c r="DC157" s="25"/>
      <c r="DD157" s="25"/>
      <c r="DE157" s="25"/>
      <c r="DF157" s="25"/>
      <c r="DG157" s="25"/>
      <c r="DH157" s="25"/>
      <c r="DI157" s="25"/>
      <c r="DJ157" s="25"/>
    </row>
    <row r="158" spans="1:38" s="25" customFormat="1" ht="15.75" customHeight="1">
      <c r="A158" s="109">
        <f t="shared" si="24"/>
        <v>134</v>
      </c>
      <c r="B158" s="87">
        <f t="shared" si="24"/>
        <v>21</v>
      </c>
      <c r="C158" s="88" t="s">
        <v>330</v>
      </c>
      <c r="D158" s="89" t="s">
        <v>649</v>
      </c>
      <c r="E158" s="88" t="s">
        <v>426</v>
      </c>
      <c r="F158" s="90">
        <v>20634322.03</v>
      </c>
      <c r="G158" s="91"/>
      <c r="H158" s="92"/>
      <c r="I158" s="93"/>
      <c r="J158" s="22">
        <f t="shared" si="19"/>
        <v>20634322.03</v>
      </c>
      <c r="K158" s="22">
        <f t="shared" si="20"/>
        <v>0</v>
      </c>
      <c r="L158" s="23"/>
      <c r="M158" s="23"/>
      <c r="N158" s="23"/>
      <c r="O158" s="23"/>
      <c r="P158" s="23"/>
      <c r="Q158" s="23"/>
      <c r="R158" s="23"/>
      <c r="S158" s="23"/>
      <c r="T158" s="23"/>
      <c r="U158" s="23"/>
      <c r="V158" s="24"/>
      <c r="W158" s="24"/>
      <c r="X158" s="24"/>
      <c r="Y158" s="24"/>
      <c r="Z158" s="24"/>
      <c r="AA158" s="24"/>
      <c r="AB158" s="24"/>
      <c r="AC158" s="24"/>
      <c r="AD158" s="24"/>
      <c r="AE158" s="24"/>
      <c r="AF158" s="24"/>
      <c r="AG158" s="24"/>
      <c r="AH158" s="24"/>
      <c r="AI158" s="24"/>
      <c r="AJ158" s="24"/>
      <c r="AK158" s="24"/>
      <c r="AL158" s="24"/>
    </row>
    <row r="159" spans="1:114" s="44" customFormat="1" ht="15.75" customHeight="1">
      <c r="A159" s="109">
        <f t="shared" si="24"/>
        <v>135</v>
      </c>
      <c r="B159" s="87">
        <f t="shared" si="24"/>
        <v>22</v>
      </c>
      <c r="C159" s="88" t="s">
        <v>333</v>
      </c>
      <c r="D159" s="89" t="s">
        <v>331</v>
      </c>
      <c r="E159" s="88" t="s">
        <v>428</v>
      </c>
      <c r="F159" s="90">
        <f>740967.69/2.745</f>
        <v>269933.5846994535</v>
      </c>
      <c r="G159" s="91"/>
      <c r="H159" s="92"/>
      <c r="I159" s="93"/>
      <c r="J159" s="22">
        <f t="shared" si="19"/>
        <v>269933.5846994535</v>
      </c>
      <c r="K159" s="22">
        <f t="shared" si="20"/>
        <v>0</v>
      </c>
      <c r="L159" s="23"/>
      <c r="M159" s="23"/>
      <c r="N159" s="23"/>
      <c r="O159" s="23"/>
      <c r="P159" s="23"/>
      <c r="Q159" s="23"/>
      <c r="R159" s="23"/>
      <c r="S159" s="23"/>
      <c r="T159" s="23"/>
      <c r="U159" s="23"/>
      <c r="V159" s="24"/>
      <c r="W159" s="24"/>
      <c r="X159" s="24"/>
      <c r="Y159" s="24"/>
      <c r="Z159" s="24"/>
      <c r="AA159" s="24"/>
      <c r="AB159" s="24"/>
      <c r="AC159" s="24"/>
      <c r="AD159" s="24"/>
      <c r="AE159" s="24"/>
      <c r="AF159" s="24"/>
      <c r="AG159" s="24"/>
      <c r="AH159" s="24"/>
      <c r="AI159" s="24"/>
      <c r="AJ159" s="24"/>
      <c r="AK159" s="24"/>
      <c r="AL159" s="24"/>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c r="CE159" s="25"/>
      <c r="CF159" s="25"/>
      <c r="CG159" s="25"/>
      <c r="CH159" s="25"/>
      <c r="CI159" s="25"/>
      <c r="CJ159" s="25"/>
      <c r="CK159" s="25"/>
      <c r="CL159" s="25"/>
      <c r="CM159" s="25"/>
      <c r="CN159" s="25"/>
      <c r="CO159" s="25"/>
      <c r="CP159" s="25"/>
      <c r="CQ159" s="25"/>
      <c r="CR159" s="25"/>
      <c r="CS159" s="25"/>
      <c r="CT159" s="25"/>
      <c r="CU159" s="25"/>
      <c r="CV159" s="25"/>
      <c r="CW159" s="25"/>
      <c r="CX159" s="25"/>
      <c r="CY159" s="25"/>
      <c r="CZ159" s="25"/>
      <c r="DA159" s="25"/>
      <c r="DB159" s="25"/>
      <c r="DC159" s="25"/>
      <c r="DD159" s="25"/>
      <c r="DE159" s="25"/>
      <c r="DF159" s="25"/>
      <c r="DG159" s="25"/>
      <c r="DH159" s="25"/>
      <c r="DI159" s="25"/>
      <c r="DJ159" s="25"/>
    </row>
    <row r="160" spans="1:114" s="44" customFormat="1" ht="15.75" customHeight="1">
      <c r="A160" s="109">
        <f t="shared" si="24"/>
        <v>136</v>
      </c>
      <c r="B160" s="87">
        <f t="shared" si="24"/>
        <v>23</v>
      </c>
      <c r="C160" s="88" t="s">
        <v>332</v>
      </c>
      <c r="D160" s="89" t="s">
        <v>650</v>
      </c>
      <c r="E160" s="88" t="s">
        <v>425</v>
      </c>
      <c r="F160" s="90">
        <v>579000</v>
      </c>
      <c r="G160" s="91"/>
      <c r="H160" s="92"/>
      <c r="I160" s="93"/>
      <c r="J160" s="22">
        <f t="shared" si="19"/>
        <v>579000</v>
      </c>
      <c r="K160" s="22">
        <f t="shared" si="20"/>
        <v>0</v>
      </c>
      <c r="L160" s="23"/>
      <c r="M160" s="23"/>
      <c r="N160" s="23"/>
      <c r="O160" s="23"/>
      <c r="P160" s="23"/>
      <c r="Q160" s="23"/>
      <c r="R160" s="23"/>
      <c r="S160" s="23"/>
      <c r="T160" s="23"/>
      <c r="U160" s="23"/>
      <c r="V160" s="24"/>
      <c r="W160" s="24"/>
      <c r="X160" s="24"/>
      <c r="Y160" s="24"/>
      <c r="Z160" s="24"/>
      <c r="AA160" s="24"/>
      <c r="AB160" s="24"/>
      <c r="AC160" s="24"/>
      <c r="AD160" s="24"/>
      <c r="AE160" s="24"/>
      <c r="AF160" s="24"/>
      <c r="AG160" s="24"/>
      <c r="AH160" s="24"/>
      <c r="AI160" s="24"/>
      <c r="AJ160" s="24"/>
      <c r="AK160" s="24"/>
      <c r="AL160" s="24"/>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c r="CC160" s="25"/>
      <c r="CD160" s="25"/>
      <c r="CE160" s="25"/>
      <c r="CF160" s="25"/>
      <c r="CG160" s="25"/>
      <c r="CH160" s="25"/>
      <c r="CI160" s="25"/>
      <c r="CJ160" s="25"/>
      <c r="CK160" s="25"/>
      <c r="CL160" s="25"/>
      <c r="CM160" s="25"/>
      <c r="CN160" s="25"/>
      <c r="CO160" s="25"/>
      <c r="CP160" s="25"/>
      <c r="CQ160" s="25"/>
      <c r="CR160" s="25"/>
      <c r="CS160" s="25"/>
      <c r="CT160" s="25"/>
      <c r="CU160" s="25"/>
      <c r="CV160" s="25"/>
      <c r="CW160" s="25"/>
      <c r="CX160" s="25"/>
      <c r="CY160" s="25"/>
      <c r="CZ160" s="25"/>
      <c r="DA160" s="25"/>
      <c r="DB160" s="25"/>
      <c r="DC160" s="25"/>
      <c r="DD160" s="25"/>
      <c r="DE160" s="25"/>
      <c r="DF160" s="25"/>
      <c r="DG160" s="25"/>
      <c r="DH160" s="25"/>
      <c r="DI160" s="25"/>
      <c r="DJ160" s="25"/>
    </row>
    <row r="161" spans="1:114" s="44" customFormat="1" ht="15.75" customHeight="1">
      <c r="A161" s="109">
        <f t="shared" si="24"/>
        <v>137</v>
      </c>
      <c r="B161" s="87">
        <f t="shared" si="24"/>
        <v>24</v>
      </c>
      <c r="C161" s="88" t="s">
        <v>332</v>
      </c>
      <c r="D161" s="89" t="s">
        <v>651</v>
      </c>
      <c r="E161" s="88" t="s">
        <v>425</v>
      </c>
      <c r="F161" s="90">
        <v>289000</v>
      </c>
      <c r="G161" s="91"/>
      <c r="H161" s="92"/>
      <c r="I161" s="93"/>
      <c r="J161" s="22">
        <f t="shared" si="19"/>
        <v>289000</v>
      </c>
      <c r="K161" s="22">
        <f t="shared" si="20"/>
        <v>0</v>
      </c>
      <c r="L161" s="23"/>
      <c r="M161" s="23"/>
      <c r="N161" s="23"/>
      <c r="O161" s="23"/>
      <c r="P161" s="23"/>
      <c r="Q161" s="23"/>
      <c r="R161" s="23"/>
      <c r="S161" s="23"/>
      <c r="T161" s="23"/>
      <c r="U161" s="23"/>
      <c r="V161" s="24"/>
      <c r="W161" s="24"/>
      <c r="X161" s="24"/>
      <c r="Y161" s="24"/>
      <c r="Z161" s="24"/>
      <c r="AA161" s="24"/>
      <c r="AB161" s="24"/>
      <c r="AC161" s="24"/>
      <c r="AD161" s="24"/>
      <c r="AE161" s="24"/>
      <c r="AF161" s="24"/>
      <c r="AG161" s="24"/>
      <c r="AH161" s="24"/>
      <c r="AI161" s="24"/>
      <c r="AJ161" s="24"/>
      <c r="AK161" s="24"/>
      <c r="AL161" s="24"/>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c r="CG161" s="25"/>
      <c r="CH161" s="25"/>
      <c r="CI161" s="25"/>
      <c r="CJ161" s="25"/>
      <c r="CK161" s="25"/>
      <c r="CL161" s="25"/>
      <c r="CM161" s="25"/>
      <c r="CN161" s="25"/>
      <c r="CO161" s="25"/>
      <c r="CP161" s="25"/>
      <c r="CQ161" s="25"/>
      <c r="CR161" s="25"/>
      <c r="CS161" s="25"/>
      <c r="CT161" s="25"/>
      <c r="CU161" s="25"/>
      <c r="CV161" s="25"/>
      <c r="CW161" s="25"/>
      <c r="CX161" s="25"/>
      <c r="CY161" s="25"/>
      <c r="CZ161" s="25"/>
      <c r="DA161" s="25"/>
      <c r="DB161" s="25"/>
      <c r="DC161" s="25"/>
      <c r="DD161" s="25"/>
      <c r="DE161" s="25"/>
      <c r="DF161" s="25"/>
      <c r="DG161" s="25"/>
      <c r="DH161" s="25"/>
      <c r="DI161" s="25"/>
      <c r="DJ161" s="25"/>
    </row>
    <row r="162" spans="1:114" s="45" customFormat="1" ht="15.75" customHeight="1">
      <c r="A162" s="109">
        <f t="shared" si="24"/>
        <v>138</v>
      </c>
      <c r="B162" s="87">
        <f t="shared" si="24"/>
        <v>25</v>
      </c>
      <c r="C162" s="88" t="s">
        <v>340</v>
      </c>
      <c r="D162" s="89" t="s">
        <v>356</v>
      </c>
      <c r="E162" s="88" t="s">
        <v>424</v>
      </c>
      <c r="F162" s="90">
        <f>63801584.6/2.7+410996.97</f>
        <v>24041213.488518517</v>
      </c>
      <c r="G162" s="91"/>
      <c r="H162" s="92"/>
      <c r="I162" s="93"/>
      <c r="J162" s="22">
        <f t="shared" si="19"/>
        <v>24041213.488518517</v>
      </c>
      <c r="K162" s="22">
        <f t="shared" si="20"/>
        <v>0</v>
      </c>
      <c r="L162" s="23"/>
      <c r="M162" s="23"/>
      <c r="N162" s="23"/>
      <c r="O162" s="23"/>
      <c r="P162" s="23"/>
      <c r="Q162" s="23"/>
      <c r="R162" s="23"/>
      <c r="S162" s="23"/>
      <c r="T162" s="23"/>
      <c r="U162" s="23"/>
      <c r="V162" s="24"/>
      <c r="W162" s="24"/>
      <c r="X162" s="24"/>
      <c r="Y162" s="24"/>
      <c r="Z162" s="24"/>
      <c r="AA162" s="24"/>
      <c r="AB162" s="24"/>
      <c r="AC162" s="24"/>
      <c r="AD162" s="24"/>
      <c r="AE162" s="24"/>
      <c r="AF162" s="24"/>
      <c r="AG162" s="24"/>
      <c r="AH162" s="24"/>
      <c r="AI162" s="24"/>
      <c r="AJ162" s="24"/>
      <c r="AK162" s="24"/>
      <c r="AL162" s="24"/>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c r="CG162" s="25"/>
      <c r="CH162" s="25"/>
      <c r="CI162" s="25"/>
      <c r="CJ162" s="25"/>
      <c r="CK162" s="25"/>
      <c r="CL162" s="25"/>
      <c r="CM162" s="25"/>
      <c r="CN162" s="25"/>
      <c r="CO162" s="25"/>
      <c r="CP162" s="25"/>
      <c r="CQ162" s="25"/>
      <c r="CR162" s="25"/>
      <c r="CS162" s="25"/>
      <c r="CT162" s="25"/>
      <c r="CU162" s="25"/>
      <c r="CV162" s="25"/>
      <c r="CW162" s="25"/>
      <c r="CX162" s="25"/>
      <c r="CY162" s="25"/>
      <c r="CZ162" s="25"/>
      <c r="DA162" s="25"/>
      <c r="DB162" s="25"/>
      <c r="DC162" s="25"/>
      <c r="DD162" s="25"/>
      <c r="DE162" s="25"/>
      <c r="DF162" s="25"/>
      <c r="DG162" s="25"/>
      <c r="DH162" s="25"/>
      <c r="DI162" s="25"/>
      <c r="DJ162" s="25"/>
    </row>
    <row r="163" spans="1:114" s="40" customFormat="1" ht="15.75" customHeight="1">
      <c r="A163" s="109">
        <f t="shared" si="24"/>
        <v>139</v>
      </c>
      <c r="B163" s="87">
        <f t="shared" si="24"/>
        <v>26</v>
      </c>
      <c r="C163" s="88" t="s">
        <v>335</v>
      </c>
      <c r="D163" s="89" t="s">
        <v>336</v>
      </c>
      <c r="E163" s="88" t="s">
        <v>426</v>
      </c>
      <c r="F163" s="90">
        <v>1540001</v>
      </c>
      <c r="G163" s="91"/>
      <c r="H163" s="92"/>
      <c r="I163" s="93"/>
      <c r="J163" s="22">
        <f t="shared" si="19"/>
        <v>1540001</v>
      </c>
      <c r="K163" s="22">
        <f t="shared" si="20"/>
        <v>0</v>
      </c>
      <c r="L163" s="23"/>
      <c r="M163" s="23"/>
      <c r="N163" s="23"/>
      <c r="O163" s="23"/>
      <c r="P163" s="23"/>
      <c r="Q163" s="23"/>
      <c r="R163" s="23"/>
      <c r="S163" s="23"/>
      <c r="T163" s="23"/>
      <c r="U163" s="23"/>
      <c r="V163" s="24"/>
      <c r="W163" s="24"/>
      <c r="X163" s="24"/>
      <c r="Y163" s="24"/>
      <c r="Z163" s="24"/>
      <c r="AA163" s="24"/>
      <c r="AB163" s="24"/>
      <c r="AC163" s="24"/>
      <c r="AD163" s="24"/>
      <c r="AE163" s="24"/>
      <c r="AF163" s="24"/>
      <c r="AG163" s="24"/>
      <c r="AH163" s="24"/>
      <c r="AI163" s="24"/>
      <c r="AJ163" s="24"/>
      <c r="AK163" s="24"/>
      <c r="AL163" s="24"/>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c r="CP163" s="25"/>
      <c r="CQ163" s="25"/>
      <c r="CR163" s="25"/>
      <c r="CS163" s="25"/>
      <c r="CT163" s="25"/>
      <c r="CU163" s="25"/>
      <c r="CV163" s="25"/>
      <c r="CW163" s="25"/>
      <c r="CX163" s="25"/>
      <c r="CY163" s="25"/>
      <c r="CZ163" s="25"/>
      <c r="DA163" s="25"/>
      <c r="DB163" s="25"/>
      <c r="DC163" s="25"/>
      <c r="DD163" s="25"/>
      <c r="DE163" s="25"/>
      <c r="DF163" s="25"/>
      <c r="DG163" s="25"/>
      <c r="DH163" s="25"/>
      <c r="DI163" s="25"/>
      <c r="DJ163" s="25"/>
    </row>
    <row r="164" spans="1:114" s="34" customFormat="1" ht="26.25" customHeight="1">
      <c r="A164" s="109">
        <f aca="true" t="shared" si="25" ref="A164:B169">A163+1</f>
        <v>140</v>
      </c>
      <c r="B164" s="87">
        <f t="shared" si="25"/>
        <v>27</v>
      </c>
      <c r="C164" s="88" t="s">
        <v>337</v>
      </c>
      <c r="D164" s="89" t="s">
        <v>652</v>
      </c>
      <c r="E164" s="88" t="s">
        <v>424</v>
      </c>
      <c r="F164" s="90">
        <v>32986000</v>
      </c>
      <c r="G164" s="91"/>
      <c r="H164" s="92">
        <v>5554000</v>
      </c>
      <c r="I164" s="101" t="s">
        <v>498</v>
      </c>
      <c r="J164" s="22"/>
      <c r="K164" s="22"/>
      <c r="L164" s="23"/>
      <c r="M164" s="23"/>
      <c r="N164" s="23"/>
      <c r="O164" s="23"/>
      <c r="P164" s="23"/>
      <c r="Q164" s="23"/>
      <c r="R164" s="23"/>
      <c r="S164" s="23"/>
      <c r="T164" s="23"/>
      <c r="U164" s="23"/>
      <c r="V164" s="24"/>
      <c r="W164" s="24"/>
      <c r="X164" s="24"/>
      <c r="Y164" s="24"/>
      <c r="Z164" s="24"/>
      <c r="AA164" s="24"/>
      <c r="AB164" s="24"/>
      <c r="AC164" s="24"/>
      <c r="AD164" s="24"/>
      <c r="AE164" s="24"/>
      <c r="AF164" s="24"/>
      <c r="AG164" s="24"/>
      <c r="AH164" s="24"/>
      <c r="AI164" s="24"/>
      <c r="AJ164" s="24"/>
      <c r="AK164" s="24"/>
      <c r="AL164" s="24"/>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c r="CE164" s="25"/>
      <c r="CF164" s="25"/>
      <c r="CG164" s="25"/>
      <c r="CH164" s="25"/>
      <c r="CI164" s="25"/>
      <c r="CJ164" s="25"/>
      <c r="CK164" s="25"/>
      <c r="CL164" s="25"/>
      <c r="CM164" s="25"/>
      <c r="CN164" s="25"/>
      <c r="CO164" s="25"/>
      <c r="CP164" s="25"/>
      <c r="CQ164" s="25"/>
      <c r="CR164" s="25"/>
      <c r="CS164" s="25"/>
      <c r="CT164" s="25"/>
      <c r="CU164" s="25"/>
      <c r="CV164" s="25"/>
      <c r="CW164" s="25"/>
      <c r="CX164" s="25"/>
      <c r="CY164" s="25"/>
      <c r="CZ164" s="25"/>
      <c r="DA164" s="25"/>
      <c r="DB164" s="25"/>
      <c r="DC164" s="25"/>
      <c r="DD164" s="25"/>
      <c r="DE164" s="25"/>
      <c r="DF164" s="25"/>
      <c r="DG164" s="25"/>
      <c r="DH164" s="25"/>
      <c r="DI164" s="25"/>
      <c r="DJ164" s="25"/>
    </row>
    <row r="165" spans="1:114" s="34" customFormat="1" ht="26.25" customHeight="1">
      <c r="A165" s="109">
        <f t="shared" si="25"/>
        <v>141</v>
      </c>
      <c r="B165" s="87">
        <f t="shared" si="25"/>
        <v>28</v>
      </c>
      <c r="C165" s="88" t="s">
        <v>337</v>
      </c>
      <c r="D165" s="89" t="s">
        <v>653</v>
      </c>
      <c r="E165" s="88" t="s">
        <v>424</v>
      </c>
      <c r="F165" s="90">
        <v>32986000</v>
      </c>
      <c r="G165" s="91"/>
      <c r="H165" s="92">
        <v>6328000</v>
      </c>
      <c r="I165" s="93" t="s">
        <v>498</v>
      </c>
      <c r="J165" s="22"/>
      <c r="K165" s="22"/>
      <c r="L165" s="23"/>
      <c r="M165" s="23"/>
      <c r="N165" s="23"/>
      <c r="O165" s="23"/>
      <c r="P165" s="23"/>
      <c r="Q165" s="23"/>
      <c r="R165" s="23"/>
      <c r="S165" s="23"/>
      <c r="T165" s="23"/>
      <c r="U165" s="23"/>
      <c r="V165" s="24"/>
      <c r="W165" s="24"/>
      <c r="X165" s="24"/>
      <c r="Y165" s="24"/>
      <c r="Z165" s="24"/>
      <c r="AA165" s="24"/>
      <c r="AB165" s="24"/>
      <c r="AC165" s="24"/>
      <c r="AD165" s="24"/>
      <c r="AE165" s="24"/>
      <c r="AF165" s="24"/>
      <c r="AG165" s="24"/>
      <c r="AH165" s="24"/>
      <c r="AI165" s="24"/>
      <c r="AJ165" s="24"/>
      <c r="AK165" s="24"/>
      <c r="AL165" s="24"/>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c r="CI165" s="25"/>
      <c r="CJ165" s="25"/>
      <c r="CK165" s="25"/>
      <c r="CL165" s="25"/>
      <c r="CM165" s="25"/>
      <c r="CN165" s="25"/>
      <c r="CO165" s="25"/>
      <c r="CP165" s="25"/>
      <c r="CQ165" s="25"/>
      <c r="CR165" s="25"/>
      <c r="CS165" s="25"/>
      <c r="CT165" s="25"/>
      <c r="CU165" s="25"/>
      <c r="CV165" s="25"/>
      <c r="CW165" s="25"/>
      <c r="CX165" s="25"/>
      <c r="CY165" s="25"/>
      <c r="CZ165" s="25"/>
      <c r="DA165" s="25"/>
      <c r="DB165" s="25"/>
      <c r="DC165" s="25"/>
      <c r="DD165" s="25"/>
      <c r="DE165" s="25"/>
      <c r="DF165" s="25"/>
      <c r="DG165" s="25"/>
      <c r="DH165" s="25"/>
      <c r="DI165" s="25"/>
      <c r="DJ165" s="25"/>
    </row>
    <row r="166" spans="1:114" s="34" customFormat="1" ht="26.25" customHeight="1">
      <c r="A166" s="109">
        <f t="shared" si="25"/>
        <v>142</v>
      </c>
      <c r="B166" s="87">
        <f t="shared" si="25"/>
        <v>29</v>
      </c>
      <c r="C166" s="88" t="s">
        <v>559</v>
      </c>
      <c r="D166" s="89" t="s">
        <v>654</v>
      </c>
      <c r="E166" s="88" t="s">
        <v>424</v>
      </c>
      <c r="F166" s="90">
        <v>32986000</v>
      </c>
      <c r="G166" s="91"/>
      <c r="H166" s="92">
        <v>6910000</v>
      </c>
      <c r="I166" s="93" t="s">
        <v>498</v>
      </c>
      <c r="J166" s="22"/>
      <c r="K166" s="22"/>
      <c r="L166" s="23"/>
      <c r="M166" s="23"/>
      <c r="N166" s="23"/>
      <c r="O166" s="23"/>
      <c r="P166" s="23"/>
      <c r="Q166" s="23"/>
      <c r="R166" s="23"/>
      <c r="S166" s="23"/>
      <c r="T166" s="23"/>
      <c r="U166" s="23"/>
      <c r="V166" s="24"/>
      <c r="W166" s="24"/>
      <c r="X166" s="24"/>
      <c r="Y166" s="24"/>
      <c r="Z166" s="24"/>
      <c r="AA166" s="24"/>
      <c r="AB166" s="24"/>
      <c r="AC166" s="24"/>
      <c r="AD166" s="24"/>
      <c r="AE166" s="24"/>
      <c r="AF166" s="24"/>
      <c r="AG166" s="24"/>
      <c r="AH166" s="24"/>
      <c r="AI166" s="24"/>
      <c r="AJ166" s="24"/>
      <c r="AK166" s="24"/>
      <c r="AL166" s="24"/>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c r="CG166" s="25"/>
      <c r="CH166" s="25"/>
      <c r="CI166" s="25"/>
      <c r="CJ166" s="25"/>
      <c r="CK166" s="25"/>
      <c r="CL166" s="25"/>
      <c r="CM166" s="25"/>
      <c r="CN166" s="25"/>
      <c r="CO166" s="25"/>
      <c r="CP166" s="25"/>
      <c r="CQ166" s="25"/>
      <c r="CR166" s="25"/>
      <c r="CS166" s="25"/>
      <c r="CT166" s="25"/>
      <c r="CU166" s="25"/>
      <c r="CV166" s="25"/>
      <c r="CW166" s="25"/>
      <c r="CX166" s="25"/>
      <c r="CY166" s="25"/>
      <c r="CZ166" s="25"/>
      <c r="DA166" s="25"/>
      <c r="DB166" s="25"/>
      <c r="DC166" s="25"/>
      <c r="DD166" s="25"/>
      <c r="DE166" s="25"/>
      <c r="DF166" s="25"/>
      <c r="DG166" s="25"/>
      <c r="DH166" s="25"/>
      <c r="DI166" s="25"/>
      <c r="DJ166" s="25"/>
    </row>
    <row r="167" spans="1:114" s="40" customFormat="1" ht="15.75" customHeight="1">
      <c r="A167" s="109">
        <f t="shared" si="25"/>
        <v>143</v>
      </c>
      <c r="B167" s="87">
        <f t="shared" si="25"/>
        <v>30</v>
      </c>
      <c r="C167" s="88" t="s">
        <v>339</v>
      </c>
      <c r="D167" s="89" t="s">
        <v>655</v>
      </c>
      <c r="E167" s="88" t="s">
        <v>425</v>
      </c>
      <c r="F167" s="90">
        <v>6875300</v>
      </c>
      <c r="G167" s="91"/>
      <c r="H167" s="92"/>
      <c r="I167" s="93"/>
      <c r="J167" s="22">
        <f t="shared" si="19"/>
        <v>6875300</v>
      </c>
      <c r="K167" s="22">
        <f t="shared" si="20"/>
        <v>0</v>
      </c>
      <c r="L167" s="23"/>
      <c r="M167" s="23"/>
      <c r="N167" s="23"/>
      <c r="O167" s="23"/>
      <c r="P167" s="23"/>
      <c r="Q167" s="23"/>
      <c r="R167" s="23"/>
      <c r="S167" s="23"/>
      <c r="T167" s="23"/>
      <c r="U167" s="23"/>
      <c r="V167" s="24"/>
      <c r="W167" s="24"/>
      <c r="X167" s="24"/>
      <c r="Y167" s="24"/>
      <c r="Z167" s="24"/>
      <c r="AA167" s="24"/>
      <c r="AB167" s="24"/>
      <c r="AC167" s="24"/>
      <c r="AD167" s="24"/>
      <c r="AE167" s="24"/>
      <c r="AF167" s="24"/>
      <c r="AG167" s="24"/>
      <c r="AH167" s="24"/>
      <c r="AI167" s="24"/>
      <c r="AJ167" s="24"/>
      <c r="AK167" s="24"/>
      <c r="AL167" s="24"/>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c r="CE167" s="25"/>
      <c r="CF167" s="25"/>
      <c r="CG167" s="25"/>
      <c r="CH167" s="25"/>
      <c r="CI167" s="25"/>
      <c r="CJ167" s="25"/>
      <c r="CK167" s="25"/>
      <c r="CL167" s="25"/>
      <c r="CM167" s="25"/>
      <c r="CN167" s="25"/>
      <c r="CO167" s="25"/>
      <c r="CP167" s="25"/>
      <c r="CQ167" s="25"/>
      <c r="CR167" s="25"/>
      <c r="CS167" s="25"/>
      <c r="CT167" s="25"/>
      <c r="CU167" s="25"/>
      <c r="CV167" s="25"/>
      <c r="CW167" s="25"/>
      <c r="CX167" s="25"/>
      <c r="CY167" s="25"/>
      <c r="CZ167" s="25"/>
      <c r="DA167" s="25"/>
      <c r="DB167" s="25"/>
      <c r="DC167" s="25"/>
      <c r="DD167" s="25"/>
      <c r="DE167" s="25"/>
      <c r="DF167" s="25"/>
      <c r="DG167" s="25"/>
      <c r="DH167" s="25"/>
      <c r="DI167" s="25"/>
      <c r="DJ167" s="25"/>
    </row>
    <row r="168" spans="1:114" s="40" customFormat="1" ht="15.75" customHeight="1">
      <c r="A168" s="109">
        <f t="shared" si="25"/>
        <v>144</v>
      </c>
      <c r="B168" s="87">
        <f t="shared" si="25"/>
        <v>31</v>
      </c>
      <c r="C168" s="88" t="s">
        <v>339</v>
      </c>
      <c r="D168" s="89" t="s">
        <v>656</v>
      </c>
      <c r="E168" s="88" t="s">
        <v>425</v>
      </c>
      <c r="F168" s="90">
        <v>4502999.99</v>
      </c>
      <c r="G168" s="91"/>
      <c r="H168" s="92"/>
      <c r="I168" s="93"/>
      <c r="J168" s="22">
        <f t="shared" si="19"/>
        <v>4502999.99</v>
      </c>
      <c r="K168" s="22">
        <f t="shared" si="20"/>
        <v>0</v>
      </c>
      <c r="L168" s="23"/>
      <c r="M168" s="23"/>
      <c r="N168" s="23"/>
      <c r="O168" s="23"/>
      <c r="P168" s="23"/>
      <c r="Q168" s="23"/>
      <c r="R168" s="23"/>
      <c r="S168" s="23"/>
      <c r="T168" s="23"/>
      <c r="U168" s="23"/>
      <c r="V168" s="24"/>
      <c r="W168" s="24"/>
      <c r="X168" s="24"/>
      <c r="Y168" s="24"/>
      <c r="Z168" s="24"/>
      <c r="AA168" s="24"/>
      <c r="AB168" s="24"/>
      <c r="AC168" s="24"/>
      <c r="AD168" s="24"/>
      <c r="AE168" s="24"/>
      <c r="AF168" s="24"/>
      <c r="AG168" s="24"/>
      <c r="AH168" s="24"/>
      <c r="AI168" s="24"/>
      <c r="AJ168" s="24"/>
      <c r="AK168" s="24"/>
      <c r="AL168" s="24"/>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25"/>
      <c r="CH168" s="25"/>
      <c r="CI168" s="25"/>
      <c r="CJ168" s="25"/>
      <c r="CK168" s="25"/>
      <c r="CL168" s="25"/>
      <c r="CM168" s="25"/>
      <c r="CN168" s="25"/>
      <c r="CO168" s="25"/>
      <c r="CP168" s="25"/>
      <c r="CQ168" s="25"/>
      <c r="CR168" s="25"/>
      <c r="CS168" s="25"/>
      <c r="CT168" s="25"/>
      <c r="CU168" s="25"/>
      <c r="CV168" s="25"/>
      <c r="CW168" s="25"/>
      <c r="CX168" s="25"/>
      <c r="CY168" s="25"/>
      <c r="CZ168" s="25"/>
      <c r="DA168" s="25"/>
      <c r="DB168" s="25"/>
      <c r="DC168" s="25"/>
      <c r="DD168" s="25"/>
      <c r="DE168" s="25"/>
      <c r="DF168" s="25"/>
      <c r="DG168" s="25"/>
      <c r="DH168" s="25"/>
      <c r="DI168" s="25"/>
      <c r="DJ168" s="25"/>
    </row>
    <row r="169" spans="1:114" s="39" customFormat="1" ht="15.75" customHeight="1">
      <c r="A169" s="112">
        <f t="shared" si="25"/>
        <v>145</v>
      </c>
      <c r="B169" s="113">
        <f t="shared" si="25"/>
        <v>32</v>
      </c>
      <c r="C169" s="114" t="s">
        <v>339</v>
      </c>
      <c r="D169" s="115" t="s">
        <v>657</v>
      </c>
      <c r="E169" s="114" t="s">
        <v>425</v>
      </c>
      <c r="F169" s="116">
        <v>3300000</v>
      </c>
      <c r="G169" s="117"/>
      <c r="H169" s="118"/>
      <c r="I169" s="120"/>
      <c r="J169" s="22">
        <f t="shared" si="19"/>
        <v>3300000</v>
      </c>
      <c r="K169" s="22">
        <f t="shared" si="20"/>
        <v>0</v>
      </c>
      <c r="L169" s="23"/>
      <c r="M169" s="23"/>
      <c r="N169" s="23"/>
      <c r="O169" s="23"/>
      <c r="P169" s="23"/>
      <c r="Q169" s="23"/>
      <c r="R169" s="23"/>
      <c r="S169" s="23"/>
      <c r="T169" s="23"/>
      <c r="U169" s="23"/>
      <c r="V169" s="24"/>
      <c r="W169" s="24"/>
      <c r="X169" s="24"/>
      <c r="Y169" s="24"/>
      <c r="Z169" s="24"/>
      <c r="AA169" s="24"/>
      <c r="AB169" s="24"/>
      <c r="AC169" s="24"/>
      <c r="AD169" s="24"/>
      <c r="AE169" s="24"/>
      <c r="AF169" s="24"/>
      <c r="AG169" s="24"/>
      <c r="AH169" s="24"/>
      <c r="AI169" s="24"/>
      <c r="AJ169" s="24"/>
      <c r="AK169" s="24"/>
      <c r="AL169" s="24"/>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c r="CF169" s="25"/>
      <c r="CG169" s="25"/>
      <c r="CH169" s="25"/>
      <c r="CI169" s="25"/>
      <c r="CJ169" s="25"/>
      <c r="CK169" s="25"/>
      <c r="CL169" s="25"/>
      <c r="CM169" s="25"/>
      <c r="CN169" s="25"/>
      <c r="CO169" s="25"/>
      <c r="CP169" s="25"/>
      <c r="CQ169" s="25"/>
      <c r="CR169" s="25"/>
      <c r="CS169" s="25"/>
      <c r="CT169" s="25"/>
      <c r="CU169" s="25"/>
      <c r="CV169" s="25"/>
      <c r="CW169" s="25"/>
      <c r="CX169" s="25"/>
      <c r="CY169" s="25"/>
      <c r="CZ169" s="25"/>
      <c r="DA169" s="25"/>
      <c r="DB169" s="25"/>
      <c r="DC169" s="25"/>
      <c r="DD169" s="25"/>
      <c r="DE169" s="25"/>
      <c r="DF169" s="25"/>
      <c r="DG169" s="25"/>
      <c r="DH169" s="25"/>
      <c r="DI169" s="25"/>
      <c r="DJ169" s="25"/>
    </row>
    <row r="170" spans="1:114" s="26" customFormat="1" ht="15.75" customHeight="1">
      <c r="A170" s="167" t="s">
        <v>149</v>
      </c>
      <c r="B170" s="168"/>
      <c r="C170" s="168"/>
      <c r="D170" s="168"/>
      <c r="E170" s="18"/>
      <c r="F170" s="19">
        <f>SUM(F138:F169)</f>
        <v>539103691.803218</v>
      </c>
      <c r="G170" s="19"/>
      <c r="H170" s="20">
        <f>SUM(H138:H169)</f>
        <v>229054903</v>
      </c>
      <c r="I170" s="21"/>
      <c r="J170" s="22"/>
      <c r="K170" s="33"/>
      <c r="L170" s="23"/>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c r="CG170" s="25"/>
      <c r="CH170" s="25"/>
      <c r="CI170" s="25"/>
      <c r="CJ170" s="25"/>
      <c r="CK170" s="25"/>
      <c r="CL170" s="25"/>
      <c r="CM170" s="25"/>
      <c r="CN170" s="25"/>
      <c r="CO170" s="25"/>
      <c r="CP170" s="25"/>
      <c r="CQ170" s="25"/>
      <c r="CR170" s="25"/>
      <c r="CS170" s="25"/>
      <c r="CT170" s="25"/>
      <c r="CU170" s="25"/>
      <c r="CV170" s="25"/>
      <c r="CW170" s="25"/>
      <c r="CX170" s="25"/>
      <c r="CY170" s="25"/>
      <c r="CZ170" s="25"/>
      <c r="DA170" s="25"/>
      <c r="DB170" s="25"/>
      <c r="DC170" s="25"/>
      <c r="DD170" s="25"/>
      <c r="DE170" s="25"/>
      <c r="DF170" s="25"/>
      <c r="DG170" s="25"/>
      <c r="DH170" s="25"/>
      <c r="DI170" s="25"/>
      <c r="DJ170" s="25"/>
    </row>
    <row r="171" spans="1:114" s="34" customFormat="1" ht="15.75" customHeight="1">
      <c r="A171" s="170">
        <v>1998</v>
      </c>
      <c r="B171" s="171"/>
      <c r="C171" s="171"/>
      <c r="D171" s="171"/>
      <c r="E171" s="171"/>
      <c r="F171" s="171"/>
      <c r="G171" s="171"/>
      <c r="H171" s="171"/>
      <c r="I171" s="172"/>
      <c r="J171" s="22">
        <f aca="true" t="shared" si="26" ref="J171:J194">+F171</f>
        <v>0</v>
      </c>
      <c r="K171" s="22">
        <f aca="true" t="shared" si="27" ref="K171:K194">+H171</f>
        <v>0</v>
      </c>
      <c r="L171" s="23"/>
      <c r="M171" s="23"/>
      <c r="N171" s="23"/>
      <c r="O171" s="23"/>
      <c r="P171" s="23"/>
      <c r="Q171" s="23"/>
      <c r="R171" s="23"/>
      <c r="S171" s="23"/>
      <c r="T171" s="23"/>
      <c r="U171" s="23"/>
      <c r="V171" s="24"/>
      <c r="W171" s="24"/>
      <c r="X171" s="24"/>
      <c r="Y171" s="24"/>
      <c r="Z171" s="24"/>
      <c r="AA171" s="24"/>
      <c r="AB171" s="24"/>
      <c r="AC171" s="24"/>
      <c r="AD171" s="24"/>
      <c r="AE171" s="24"/>
      <c r="AF171" s="24"/>
      <c r="AG171" s="24"/>
      <c r="AH171" s="24"/>
      <c r="AI171" s="24"/>
      <c r="AJ171" s="24"/>
      <c r="AK171" s="24"/>
      <c r="AL171" s="24"/>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c r="CF171" s="25"/>
      <c r="CG171" s="25"/>
      <c r="CH171" s="25"/>
      <c r="CI171" s="25"/>
      <c r="CJ171" s="25"/>
      <c r="CK171" s="25"/>
      <c r="CL171" s="25"/>
      <c r="CM171" s="25"/>
      <c r="CN171" s="25"/>
      <c r="CO171" s="25"/>
      <c r="CP171" s="25"/>
      <c r="CQ171" s="25"/>
      <c r="CR171" s="25"/>
      <c r="CS171" s="25"/>
      <c r="CT171" s="25"/>
      <c r="CU171" s="25"/>
      <c r="CV171" s="25"/>
      <c r="CW171" s="25"/>
      <c r="CX171" s="25"/>
      <c r="CY171" s="25"/>
      <c r="CZ171" s="25"/>
      <c r="DA171" s="25"/>
      <c r="DB171" s="25"/>
      <c r="DC171" s="25"/>
      <c r="DD171" s="25"/>
      <c r="DE171" s="25"/>
      <c r="DF171" s="25"/>
      <c r="DG171" s="25"/>
      <c r="DH171" s="25"/>
      <c r="DI171" s="25"/>
      <c r="DJ171" s="25"/>
    </row>
    <row r="172" spans="1:114" s="34" customFormat="1" ht="15.75" customHeight="1">
      <c r="A172" s="61">
        <f>A169+1</f>
        <v>146</v>
      </c>
      <c r="B172" s="62">
        <v>1</v>
      </c>
      <c r="C172" s="63" t="s">
        <v>351</v>
      </c>
      <c r="D172" s="64" t="s">
        <v>658</v>
      </c>
      <c r="E172" s="63" t="s">
        <v>345</v>
      </c>
      <c r="F172" s="84">
        <v>774218</v>
      </c>
      <c r="G172" s="85"/>
      <c r="H172" s="65"/>
      <c r="I172" s="67"/>
      <c r="J172" s="22">
        <f t="shared" si="26"/>
        <v>774218</v>
      </c>
      <c r="K172" s="22">
        <f t="shared" si="27"/>
        <v>0</v>
      </c>
      <c r="L172" s="23"/>
      <c r="M172" s="23"/>
      <c r="N172" s="23"/>
      <c r="O172" s="23"/>
      <c r="P172" s="23"/>
      <c r="Q172" s="23"/>
      <c r="R172" s="23"/>
      <c r="S172" s="23"/>
      <c r="T172" s="23"/>
      <c r="U172" s="23"/>
      <c r="V172" s="24"/>
      <c r="W172" s="24"/>
      <c r="X172" s="24"/>
      <c r="Y172" s="24"/>
      <c r="Z172" s="24"/>
      <c r="AA172" s="24"/>
      <c r="AB172" s="24"/>
      <c r="AC172" s="24"/>
      <c r="AD172" s="24"/>
      <c r="AE172" s="24"/>
      <c r="AF172" s="24"/>
      <c r="AG172" s="24"/>
      <c r="AH172" s="24"/>
      <c r="AI172" s="24"/>
      <c r="AJ172" s="24"/>
      <c r="AK172" s="24"/>
      <c r="AL172" s="24"/>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c r="CC172" s="25"/>
      <c r="CD172" s="25"/>
      <c r="CE172" s="25"/>
      <c r="CF172" s="25"/>
      <c r="CG172" s="25"/>
      <c r="CH172" s="25"/>
      <c r="CI172" s="25"/>
      <c r="CJ172" s="25"/>
      <c r="CK172" s="25"/>
      <c r="CL172" s="25"/>
      <c r="CM172" s="25"/>
      <c r="CN172" s="25"/>
      <c r="CO172" s="25"/>
      <c r="CP172" s="25"/>
      <c r="CQ172" s="25"/>
      <c r="CR172" s="25"/>
      <c r="CS172" s="25"/>
      <c r="CT172" s="25"/>
      <c r="CU172" s="25"/>
      <c r="CV172" s="25"/>
      <c r="CW172" s="25"/>
      <c r="CX172" s="25"/>
      <c r="CY172" s="25"/>
      <c r="CZ172" s="25"/>
      <c r="DA172" s="25"/>
      <c r="DB172" s="25"/>
      <c r="DC172" s="25"/>
      <c r="DD172" s="25"/>
      <c r="DE172" s="25"/>
      <c r="DF172" s="25"/>
      <c r="DG172" s="25"/>
      <c r="DH172" s="25"/>
      <c r="DI172" s="25"/>
      <c r="DJ172" s="25"/>
    </row>
    <row r="173" spans="1:114" s="34" customFormat="1" ht="15.75" customHeight="1">
      <c r="A173" s="109">
        <f aca="true" t="shared" si="28" ref="A173:B188">+A172+1</f>
        <v>147</v>
      </c>
      <c r="B173" s="87">
        <v>2</v>
      </c>
      <c r="C173" s="88" t="s">
        <v>352</v>
      </c>
      <c r="D173" s="89" t="s">
        <v>353</v>
      </c>
      <c r="E173" s="88" t="s">
        <v>426</v>
      </c>
      <c r="F173" s="90">
        <v>15215000</v>
      </c>
      <c r="G173" s="91"/>
      <c r="H173" s="92">
        <v>2000000</v>
      </c>
      <c r="I173" s="93" t="s">
        <v>498</v>
      </c>
      <c r="J173" s="22">
        <f t="shared" si="26"/>
        <v>15215000</v>
      </c>
      <c r="K173" s="22">
        <f t="shared" si="27"/>
        <v>2000000</v>
      </c>
      <c r="L173" s="23"/>
      <c r="M173" s="23"/>
      <c r="N173" s="23"/>
      <c r="O173" s="23"/>
      <c r="P173" s="23"/>
      <c r="Q173" s="23"/>
      <c r="R173" s="23"/>
      <c r="S173" s="23"/>
      <c r="T173" s="23"/>
      <c r="U173" s="23"/>
      <c r="V173" s="24"/>
      <c r="W173" s="24"/>
      <c r="X173" s="24"/>
      <c r="Y173" s="24"/>
      <c r="Z173" s="24"/>
      <c r="AA173" s="24"/>
      <c r="AB173" s="24"/>
      <c r="AC173" s="24"/>
      <c r="AD173" s="24"/>
      <c r="AE173" s="24"/>
      <c r="AF173" s="24"/>
      <c r="AG173" s="24"/>
      <c r="AH173" s="24"/>
      <c r="AI173" s="24"/>
      <c r="AJ173" s="24"/>
      <c r="AK173" s="24"/>
      <c r="AL173" s="24"/>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c r="CG173" s="25"/>
      <c r="CH173" s="25"/>
      <c r="CI173" s="25"/>
      <c r="CJ173" s="25"/>
      <c r="CK173" s="25"/>
      <c r="CL173" s="25"/>
      <c r="CM173" s="25"/>
      <c r="CN173" s="25"/>
      <c r="CO173" s="25"/>
      <c r="CP173" s="25"/>
      <c r="CQ173" s="25"/>
      <c r="CR173" s="25"/>
      <c r="CS173" s="25"/>
      <c r="CT173" s="25"/>
      <c r="CU173" s="25"/>
      <c r="CV173" s="25"/>
      <c r="CW173" s="25"/>
      <c r="CX173" s="25"/>
      <c r="CY173" s="25"/>
      <c r="CZ173" s="25"/>
      <c r="DA173" s="25"/>
      <c r="DB173" s="25"/>
      <c r="DC173" s="25"/>
      <c r="DD173" s="25"/>
      <c r="DE173" s="25"/>
      <c r="DF173" s="25"/>
      <c r="DG173" s="25"/>
      <c r="DH173" s="25"/>
      <c r="DI173" s="25"/>
      <c r="DJ173" s="25"/>
    </row>
    <row r="174" spans="1:114" s="34" customFormat="1" ht="15.75" customHeight="1">
      <c r="A174" s="109">
        <f t="shared" si="28"/>
        <v>148</v>
      </c>
      <c r="B174" s="87">
        <v>3</v>
      </c>
      <c r="C174" s="88" t="s">
        <v>357</v>
      </c>
      <c r="D174" s="89" t="s">
        <v>659</v>
      </c>
      <c r="E174" s="88" t="s">
        <v>425</v>
      </c>
      <c r="F174" s="90">
        <v>2400000</v>
      </c>
      <c r="G174" s="91"/>
      <c r="H174" s="92"/>
      <c r="I174" s="93"/>
      <c r="J174" s="22">
        <f t="shared" si="26"/>
        <v>2400000</v>
      </c>
      <c r="K174" s="22">
        <f t="shared" si="27"/>
        <v>0</v>
      </c>
      <c r="L174" s="23"/>
      <c r="M174" s="23"/>
      <c r="N174" s="23"/>
      <c r="O174" s="23"/>
      <c r="P174" s="23"/>
      <c r="Q174" s="23"/>
      <c r="R174" s="23"/>
      <c r="S174" s="23"/>
      <c r="T174" s="23"/>
      <c r="U174" s="23"/>
      <c r="V174" s="24"/>
      <c r="W174" s="24"/>
      <c r="X174" s="24"/>
      <c r="Y174" s="24"/>
      <c r="Z174" s="24"/>
      <c r="AA174" s="24"/>
      <c r="AB174" s="24"/>
      <c r="AC174" s="24"/>
      <c r="AD174" s="24"/>
      <c r="AE174" s="24"/>
      <c r="AF174" s="24"/>
      <c r="AG174" s="24"/>
      <c r="AH174" s="24"/>
      <c r="AI174" s="24"/>
      <c r="AJ174" s="24"/>
      <c r="AK174" s="24"/>
      <c r="AL174" s="24"/>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c r="CI174" s="25"/>
      <c r="CJ174" s="25"/>
      <c r="CK174" s="25"/>
      <c r="CL174" s="25"/>
      <c r="CM174" s="25"/>
      <c r="CN174" s="25"/>
      <c r="CO174" s="25"/>
      <c r="CP174" s="25"/>
      <c r="CQ174" s="25"/>
      <c r="CR174" s="25"/>
      <c r="CS174" s="25"/>
      <c r="CT174" s="25"/>
      <c r="CU174" s="25"/>
      <c r="CV174" s="25"/>
      <c r="CW174" s="25"/>
      <c r="CX174" s="25"/>
      <c r="CY174" s="25"/>
      <c r="CZ174" s="25"/>
      <c r="DA174" s="25"/>
      <c r="DB174" s="25"/>
      <c r="DC174" s="25"/>
      <c r="DD174" s="25"/>
      <c r="DE174" s="25"/>
      <c r="DF174" s="25"/>
      <c r="DG174" s="25"/>
      <c r="DH174" s="25"/>
      <c r="DI174" s="25"/>
      <c r="DJ174" s="25"/>
    </row>
    <row r="175" spans="1:115" s="47" customFormat="1" ht="15.75" customHeight="1">
      <c r="A175" s="109">
        <f t="shared" si="28"/>
        <v>149</v>
      </c>
      <c r="B175" s="87">
        <v>4</v>
      </c>
      <c r="C175" s="88" t="s">
        <v>359</v>
      </c>
      <c r="D175" s="89" t="s">
        <v>660</v>
      </c>
      <c r="E175" s="88" t="s">
        <v>3</v>
      </c>
      <c r="F175" s="90">
        <v>90001</v>
      </c>
      <c r="G175" s="91"/>
      <c r="H175" s="92">
        <v>90000</v>
      </c>
      <c r="I175" s="101" t="s">
        <v>498</v>
      </c>
      <c r="J175" s="22">
        <f t="shared" si="26"/>
        <v>90001</v>
      </c>
      <c r="K175" s="22">
        <f t="shared" si="27"/>
        <v>90000</v>
      </c>
      <c r="L175" s="23"/>
      <c r="M175" s="23"/>
      <c r="N175" s="23"/>
      <c r="O175" s="23"/>
      <c r="P175" s="23"/>
      <c r="Q175" s="23"/>
      <c r="R175" s="23"/>
      <c r="S175" s="23"/>
      <c r="T175" s="23"/>
      <c r="U175" s="23"/>
      <c r="V175" s="24"/>
      <c r="W175" s="24"/>
      <c r="X175" s="24"/>
      <c r="Y175" s="24"/>
      <c r="Z175" s="24"/>
      <c r="AA175" s="24"/>
      <c r="AB175" s="24"/>
      <c r="AC175" s="24"/>
      <c r="AD175" s="24"/>
      <c r="AE175" s="24"/>
      <c r="AF175" s="24"/>
      <c r="AG175" s="24"/>
      <c r="AH175" s="24"/>
      <c r="AI175" s="24"/>
      <c r="AJ175" s="24"/>
      <c r="AK175" s="24"/>
      <c r="AL175" s="24"/>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c r="CC175" s="25"/>
      <c r="CD175" s="25"/>
      <c r="CE175" s="25"/>
      <c r="CF175" s="25"/>
      <c r="CG175" s="25"/>
      <c r="CH175" s="25"/>
      <c r="CI175" s="25"/>
      <c r="CJ175" s="25"/>
      <c r="CK175" s="25"/>
      <c r="CL175" s="25"/>
      <c r="CM175" s="25"/>
      <c r="CN175" s="25"/>
      <c r="CO175" s="25"/>
      <c r="CP175" s="25"/>
      <c r="CQ175" s="25"/>
      <c r="CR175" s="25"/>
      <c r="CS175" s="25"/>
      <c r="CT175" s="25"/>
      <c r="CU175" s="25"/>
      <c r="CV175" s="25"/>
      <c r="CW175" s="25"/>
      <c r="CX175" s="25"/>
      <c r="CY175" s="25"/>
      <c r="CZ175" s="25"/>
      <c r="DA175" s="25"/>
      <c r="DB175" s="25"/>
      <c r="DC175" s="25"/>
      <c r="DD175" s="25"/>
      <c r="DE175" s="25"/>
      <c r="DF175" s="25"/>
      <c r="DG175" s="25"/>
      <c r="DH175" s="25"/>
      <c r="DI175" s="25"/>
      <c r="DJ175" s="25"/>
      <c r="DK175" s="46"/>
    </row>
    <row r="176" spans="1:115" s="47" customFormat="1" ht="15.75" customHeight="1">
      <c r="A176" s="109">
        <f t="shared" si="28"/>
        <v>150</v>
      </c>
      <c r="B176" s="87">
        <v>5</v>
      </c>
      <c r="C176" s="88" t="s">
        <v>364</v>
      </c>
      <c r="D176" s="89" t="s">
        <v>374</v>
      </c>
      <c r="E176" s="88" t="s">
        <v>3</v>
      </c>
      <c r="F176" s="90">
        <v>500299</v>
      </c>
      <c r="G176" s="91"/>
      <c r="H176" s="92">
        <v>10000300</v>
      </c>
      <c r="I176" s="93" t="s">
        <v>498</v>
      </c>
      <c r="J176" s="22">
        <f t="shared" si="26"/>
        <v>500299</v>
      </c>
      <c r="K176" s="22">
        <f t="shared" si="27"/>
        <v>10000300</v>
      </c>
      <c r="L176" s="23"/>
      <c r="M176" s="23"/>
      <c r="N176" s="23"/>
      <c r="O176" s="23"/>
      <c r="P176" s="23"/>
      <c r="Q176" s="23"/>
      <c r="R176" s="23"/>
      <c r="S176" s="23"/>
      <c r="T176" s="23"/>
      <c r="U176" s="23"/>
      <c r="V176" s="24"/>
      <c r="W176" s="24"/>
      <c r="X176" s="24"/>
      <c r="Y176" s="24"/>
      <c r="Z176" s="24"/>
      <c r="AA176" s="24"/>
      <c r="AB176" s="24"/>
      <c r="AC176" s="24"/>
      <c r="AD176" s="24"/>
      <c r="AE176" s="24"/>
      <c r="AF176" s="24"/>
      <c r="AG176" s="24"/>
      <c r="AH176" s="24"/>
      <c r="AI176" s="24"/>
      <c r="AJ176" s="24"/>
      <c r="AK176" s="24"/>
      <c r="AL176" s="24"/>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c r="CI176" s="25"/>
      <c r="CJ176" s="25"/>
      <c r="CK176" s="25"/>
      <c r="CL176" s="25"/>
      <c r="CM176" s="25"/>
      <c r="CN176" s="25"/>
      <c r="CO176" s="25"/>
      <c r="CP176" s="25"/>
      <c r="CQ176" s="25"/>
      <c r="CR176" s="25"/>
      <c r="CS176" s="25"/>
      <c r="CT176" s="25"/>
      <c r="CU176" s="25"/>
      <c r="CV176" s="25"/>
      <c r="CW176" s="25"/>
      <c r="CX176" s="25"/>
      <c r="CY176" s="25"/>
      <c r="CZ176" s="25"/>
      <c r="DA176" s="25"/>
      <c r="DB176" s="25"/>
      <c r="DC176" s="25"/>
      <c r="DD176" s="25"/>
      <c r="DE176" s="25"/>
      <c r="DF176" s="25"/>
      <c r="DG176" s="25"/>
      <c r="DH176" s="25"/>
      <c r="DI176" s="25"/>
      <c r="DJ176" s="25"/>
      <c r="DK176" s="46"/>
    </row>
    <row r="177" spans="1:114" s="45" customFormat="1" ht="15.75" customHeight="1">
      <c r="A177" s="109">
        <f t="shared" si="28"/>
        <v>151</v>
      </c>
      <c r="B177" s="87">
        <v>6</v>
      </c>
      <c r="C177" s="110" t="s">
        <v>365</v>
      </c>
      <c r="D177" s="89" t="s">
        <v>366</v>
      </c>
      <c r="E177" s="88" t="s">
        <v>427</v>
      </c>
      <c r="F177" s="90">
        <v>7500001</v>
      </c>
      <c r="G177" s="91"/>
      <c r="H177" s="92"/>
      <c r="I177" s="93"/>
      <c r="J177" s="22">
        <f t="shared" si="26"/>
        <v>7500001</v>
      </c>
      <c r="K177" s="22">
        <f t="shared" si="27"/>
        <v>0</v>
      </c>
      <c r="L177" s="23"/>
      <c r="M177" s="23"/>
      <c r="N177" s="23"/>
      <c r="O177" s="23"/>
      <c r="P177" s="23"/>
      <c r="Q177" s="23"/>
      <c r="R177" s="23"/>
      <c r="S177" s="23"/>
      <c r="T177" s="23"/>
      <c r="U177" s="23"/>
      <c r="V177" s="24"/>
      <c r="W177" s="24"/>
      <c r="X177" s="24"/>
      <c r="Y177" s="24"/>
      <c r="Z177" s="24"/>
      <c r="AA177" s="24"/>
      <c r="AB177" s="24"/>
      <c r="AC177" s="24"/>
      <c r="AD177" s="24"/>
      <c r="AE177" s="24"/>
      <c r="AF177" s="24"/>
      <c r="AG177" s="24"/>
      <c r="AH177" s="24"/>
      <c r="AI177" s="24"/>
      <c r="AJ177" s="24"/>
      <c r="AK177" s="24"/>
      <c r="AL177" s="24"/>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c r="CF177" s="25"/>
      <c r="CG177" s="25"/>
      <c r="CH177" s="25"/>
      <c r="CI177" s="25"/>
      <c r="CJ177" s="25"/>
      <c r="CK177" s="25"/>
      <c r="CL177" s="25"/>
      <c r="CM177" s="25"/>
      <c r="CN177" s="25"/>
      <c r="CO177" s="25"/>
      <c r="CP177" s="25"/>
      <c r="CQ177" s="25"/>
      <c r="CR177" s="25"/>
      <c r="CS177" s="25"/>
      <c r="CT177" s="25"/>
      <c r="CU177" s="25"/>
      <c r="CV177" s="25"/>
      <c r="CW177" s="25"/>
      <c r="CX177" s="25"/>
      <c r="CY177" s="25"/>
      <c r="CZ177" s="25"/>
      <c r="DA177" s="25"/>
      <c r="DB177" s="25"/>
      <c r="DC177" s="25"/>
      <c r="DD177" s="25"/>
      <c r="DE177" s="25"/>
      <c r="DF177" s="25"/>
      <c r="DG177" s="25"/>
      <c r="DH177" s="25"/>
      <c r="DI177" s="25"/>
      <c r="DJ177" s="25"/>
    </row>
    <row r="178" spans="1:114" s="45" customFormat="1" ht="15.75" customHeight="1">
      <c r="A178" s="109">
        <f t="shared" si="28"/>
        <v>152</v>
      </c>
      <c r="B178" s="87">
        <v>7</v>
      </c>
      <c r="C178" s="88" t="s">
        <v>367</v>
      </c>
      <c r="D178" s="89" t="s">
        <v>157</v>
      </c>
      <c r="E178" s="88" t="s">
        <v>3</v>
      </c>
      <c r="F178" s="90">
        <v>1223447.5</v>
      </c>
      <c r="G178" s="91"/>
      <c r="H178" s="92">
        <v>959840</v>
      </c>
      <c r="I178" s="101" t="s">
        <v>498</v>
      </c>
      <c r="J178" s="22">
        <f t="shared" si="26"/>
        <v>1223447.5</v>
      </c>
      <c r="K178" s="22">
        <f t="shared" si="27"/>
        <v>959840</v>
      </c>
      <c r="L178" s="23"/>
      <c r="M178" s="23"/>
      <c r="N178" s="23"/>
      <c r="O178" s="23"/>
      <c r="P178" s="23"/>
      <c r="Q178" s="23"/>
      <c r="R178" s="23"/>
      <c r="S178" s="23"/>
      <c r="T178" s="23"/>
      <c r="U178" s="23"/>
      <c r="V178" s="24"/>
      <c r="W178" s="24"/>
      <c r="X178" s="24"/>
      <c r="Y178" s="24"/>
      <c r="Z178" s="24"/>
      <c r="AA178" s="24"/>
      <c r="AB178" s="24"/>
      <c r="AC178" s="24"/>
      <c r="AD178" s="24"/>
      <c r="AE178" s="24"/>
      <c r="AF178" s="24"/>
      <c r="AG178" s="24"/>
      <c r="AH178" s="24"/>
      <c r="AI178" s="24"/>
      <c r="AJ178" s="24"/>
      <c r="AK178" s="24"/>
      <c r="AL178" s="24"/>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c r="CC178" s="25"/>
      <c r="CD178" s="25"/>
      <c r="CE178" s="25"/>
      <c r="CF178" s="25"/>
      <c r="CG178" s="25"/>
      <c r="CH178" s="25"/>
      <c r="CI178" s="25"/>
      <c r="CJ178" s="25"/>
      <c r="CK178" s="25"/>
      <c r="CL178" s="25"/>
      <c r="CM178" s="25"/>
      <c r="CN178" s="25"/>
      <c r="CO178" s="25"/>
      <c r="CP178" s="25"/>
      <c r="CQ178" s="25"/>
      <c r="CR178" s="25"/>
      <c r="CS178" s="25"/>
      <c r="CT178" s="25"/>
      <c r="CU178" s="25"/>
      <c r="CV178" s="25"/>
      <c r="CW178" s="25"/>
      <c r="CX178" s="25"/>
      <c r="CY178" s="25"/>
      <c r="CZ178" s="25"/>
      <c r="DA178" s="25"/>
      <c r="DB178" s="25"/>
      <c r="DC178" s="25"/>
      <c r="DD178" s="25"/>
      <c r="DE178" s="25"/>
      <c r="DF178" s="25"/>
      <c r="DG178" s="25"/>
      <c r="DH178" s="25"/>
      <c r="DI178" s="25"/>
      <c r="DJ178" s="25"/>
    </row>
    <row r="179" spans="1:114" s="44" customFormat="1" ht="15.75" customHeight="1">
      <c r="A179" s="109">
        <f t="shared" si="28"/>
        <v>153</v>
      </c>
      <c r="B179" s="87">
        <v>8</v>
      </c>
      <c r="C179" s="121">
        <v>35977</v>
      </c>
      <c r="D179" s="89" t="s">
        <v>661</v>
      </c>
      <c r="E179" s="88" t="s">
        <v>472</v>
      </c>
      <c r="F179" s="90">
        <v>17166309.62</v>
      </c>
      <c r="G179" s="91"/>
      <c r="H179" s="92"/>
      <c r="I179" s="93"/>
      <c r="J179" s="22">
        <f t="shared" si="26"/>
        <v>17166309.62</v>
      </c>
      <c r="K179" s="22">
        <f t="shared" si="27"/>
        <v>0</v>
      </c>
      <c r="L179" s="23"/>
      <c r="M179" s="23"/>
      <c r="N179" s="23"/>
      <c r="O179" s="23"/>
      <c r="P179" s="23"/>
      <c r="Q179" s="23"/>
      <c r="R179" s="23"/>
      <c r="S179" s="23"/>
      <c r="T179" s="23"/>
      <c r="U179" s="23"/>
      <c r="V179" s="24"/>
      <c r="W179" s="24"/>
      <c r="X179" s="24"/>
      <c r="Y179" s="24"/>
      <c r="Z179" s="24"/>
      <c r="AA179" s="24"/>
      <c r="AB179" s="24"/>
      <c r="AC179" s="24"/>
      <c r="AD179" s="24"/>
      <c r="AE179" s="24"/>
      <c r="AF179" s="24"/>
      <c r="AG179" s="24"/>
      <c r="AH179" s="24"/>
      <c r="AI179" s="24"/>
      <c r="AJ179" s="24"/>
      <c r="AK179" s="24"/>
      <c r="AL179" s="24"/>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c r="CC179" s="25"/>
      <c r="CD179" s="25"/>
      <c r="CE179" s="25"/>
      <c r="CF179" s="25"/>
      <c r="CG179" s="25"/>
      <c r="CH179" s="25"/>
      <c r="CI179" s="25"/>
      <c r="CJ179" s="25"/>
      <c r="CK179" s="25"/>
      <c r="CL179" s="25"/>
      <c r="CM179" s="25"/>
      <c r="CN179" s="25"/>
      <c r="CO179" s="25"/>
      <c r="CP179" s="25"/>
      <c r="CQ179" s="25"/>
      <c r="CR179" s="25"/>
      <c r="CS179" s="25"/>
      <c r="CT179" s="25"/>
      <c r="CU179" s="25"/>
      <c r="CV179" s="25"/>
      <c r="CW179" s="25"/>
      <c r="CX179" s="25"/>
      <c r="CY179" s="25"/>
      <c r="CZ179" s="25"/>
      <c r="DA179" s="25"/>
      <c r="DB179" s="25"/>
      <c r="DC179" s="25"/>
      <c r="DD179" s="25"/>
      <c r="DE179" s="25"/>
      <c r="DF179" s="25"/>
      <c r="DG179" s="25"/>
      <c r="DH179" s="25"/>
      <c r="DI179" s="25"/>
      <c r="DJ179" s="25"/>
    </row>
    <row r="180" spans="1:114" s="44" customFormat="1" ht="15.75" customHeight="1">
      <c r="A180" s="109">
        <f t="shared" si="28"/>
        <v>154</v>
      </c>
      <c r="B180" s="87">
        <v>9</v>
      </c>
      <c r="C180" s="121">
        <v>35977</v>
      </c>
      <c r="D180" s="89" t="s">
        <v>662</v>
      </c>
      <c r="E180" s="88" t="s">
        <v>472</v>
      </c>
      <c r="F180" s="90">
        <f>49885002.3/2.98</f>
        <v>16739933.65771812</v>
      </c>
      <c r="G180" s="91"/>
      <c r="H180" s="92"/>
      <c r="I180" s="93"/>
      <c r="J180" s="22">
        <f t="shared" si="26"/>
        <v>16739933.65771812</v>
      </c>
      <c r="K180" s="22">
        <f t="shared" si="27"/>
        <v>0</v>
      </c>
      <c r="L180" s="23"/>
      <c r="M180" s="23"/>
      <c r="N180" s="23"/>
      <c r="O180" s="23"/>
      <c r="P180" s="23"/>
      <c r="Q180" s="23"/>
      <c r="R180" s="23"/>
      <c r="S180" s="23"/>
      <c r="T180" s="23"/>
      <c r="U180" s="23"/>
      <c r="V180" s="24"/>
      <c r="W180" s="24"/>
      <c r="X180" s="24"/>
      <c r="Y180" s="24"/>
      <c r="Z180" s="24"/>
      <c r="AA180" s="24"/>
      <c r="AB180" s="24"/>
      <c r="AC180" s="24"/>
      <c r="AD180" s="24"/>
      <c r="AE180" s="24"/>
      <c r="AF180" s="24"/>
      <c r="AG180" s="24"/>
      <c r="AH180" s="24"/>
      <c r="AI180" s="24"/>
      <c r="AJ180" s="24"/>
      <c r="AK180" s="24"/>
      <c r="AL180" s="24"/>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c r="CC180" s="25"/>
      <c r="CD180" s="25"/>
      <c r="CE180" s="25"/>
      <c r="CF180" s="25"/>
      <c r="CG180" s="25"/>
      <c r="CH180" s="25"/>
      <c r="CI180" s="25"/>
      <c r="CJ180" s="25"/>
      <c r="CK180" s="25"/>
      <c r="CL180" s="25"/>
      <c r="CM180" s="25"/>
      <c r="CN180" s="25"/>
      <c r="CO180" s="25"/>
      <c r="CP180" s="25"/>
      <c r="CQ180" s="25"/>
      <c r="CR180" s="25"/>
      <c r="CS180" s="25"/>
      <c r="CT180" s="25"/>
      <c r="CU180" s="25"/>
      <c r="CV180" s="25"/>
      <c r="CW180" s="25"/>
      <c r="CX180" s="25"/>
      <c r="CY180" s="25"/>
      <c r="CZ180" s="25"/>
      <c r="DA180" s="25"/>
      <c r="DB180" s="25"/>
      <c r="DC180" s="25"/>
      <c r="DD180" s="25"/>
      <c r="DE180" s="25"/>
      <c r="DF180" s="25"/>
      <c r="DG180" s="25"/>
      <c r="DH180" s="25"/>
      <c r="DI180" s="25"/>
      <c r="DJ180" s="25"/>
    </row>
    <row r="181" spans="1:114" s="45" customFormat="1" ht="15.75" customHeight="1">
      <c r="A181" s="109">
        <f t="shared" si="28"/>
        <v>155</v>
      </c>
      <c r="B181" s="87">
        <v>10</v>
      </c>
      <c r="C181" s="121">
        <v>35977</v>
      </c>
      <c r="D181" s="89" t="s">
        <v>663</v>
      </c>
      <c r="E181" s="88" t="s">
        <v>472</v>
      </c>
      <c r="F181" s="90">
        <f>94781648.63/2.98</f>
        <v>31805922.359060403</v>
      </c>
      <c r="G181" s="91"/>
      <c r="H181" s="92"/>
      <c r="I181" s="93"/>
      <c r="J181" s="22">
        <f t="shared" si="26"/>
        <v>31805922.359060403</v>
      </c>
      <c r="K181" s="22">
        <f t="shared" si="27"/>
        <v>0</v>
      </c>
      <c r="L181" s="23"/>
      <c r="M181" s="23"/>
      <c r="N181" s="23"/>
      <c r="O181" s="23"/>
      <c r="P181" s="23"/>
      <c r="Q181" s="23"/>
      <c r="R181" s="23"/>
      <c r="S181" s="23"/>
      <c r="T181" s="23"/>
      <c r="U181" s="23"/>
      <c r="V181" s="24"/>
      <c r="W181" s="24"/>
      <c r="X181" s="24"/>
      <c r="Y181" s="24"/>
      <c r="Z181" s="24"/>
      <c r="AA181" s="24"/>
      <c r="AB181" s="24"/>
      <c r="AC181" s="24"/>
      <c r="AD181" s="24"/>
      <c r="AE181" s="24"/>
      <c r="AF181" s="24"/>
      <c r="AG181" s="24"/>
      <c r="AH181" s="24"/>
      <c r="AI181" s="24"/>
      <c r="AJ181" s="24"/>
      <c r="AK181" s="24"/>
      <c r="AL181" s="24"/>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c r="CC181" s="25"/>
      <c r="CD181" s="25"/>
      <c r="CE181" s="25"/>
      <c r="CF181" s="25"/>
      <c r="CG181" s="25"/>
      <c r="CH181" s="25"/>
      <c r="CI181" s="25"/>
      <c r="CJ181" s="25"/>
      <c r="CK181" s="25"/>
      <c r="CL181" s="25"/>
      <c r="CM181" s="25"/>
      <c r="CN181" s="25"/>
      <c r="CO181" s="25"/>
      <c r="CP181" s="25"/>
      <c r="CQ181" s="25"/>
      <c r="CR181" s="25"/>
      <c r="CS181" s="25"/>
      <c r="CT181" s="25"/>
      <c r="CU181" s="25"/>
      <c r="CV181" s="25"/>
      <c r="CW181" s="25"/>
      <c r="CX181" s="25"/>
      <c r="CY181" s="25"/>
      <c r="CZ181" s="25"/>
      <c r="DA181" s="25"/>
      <c r="DB181" s="25"/>
      <c r="DC181" s="25"/>
      <c r="DD181" s="25"/>
      <c r="DE181" s="25"/>
      <c r="DF181" s="25"/>
      <c r="DG181" s="25"/>
      <c r="DH181" s="25"/>
      <c r="DI181" s="25"/>
      <c r="DJ181" s="25"/>
    </row>
    <row r="182" spans="1:114" s="45" customFormat="1" ht="15.75" customHeight="1">
      <c r="A182" s="109">
        <f t="shared" si="28"/>
        <v>156</v>
      </c>
      <c r="B182" s="87">
        <v>11</v>
      </c>
      <c r="C182" s="88" t="s">
        <v>369</v>
      </c>
      <c r="D182" s="89" t="s">
        <v>370</v>
      </c>
      <c r="E182" s="88" t="s">
        <v>427</v>
      </c>
      <c r="F182" s="90">
        <v>951000</v>
      </c>
      <c r="G182" s="91"/>
      <c r="H182" s="92"/>
      <c r="I182" s="93"/>
      <c r="J182" s="22">
        <f t="shared" si="26"/>
        <v>951000</v>
      </c>
      <c r="K182" s="22">
        <f t="shared" si="27"/>
        <v>0</v>
      </c>
      <c r="L182" s="23"/>
      <c r="M182" s="23"/>
      <c r="N182" s="23"/>
      <c r="O182" s="23"/>
      <c r="P182" s="23"/>
      <c r="Q182" s="23"/>
      <c r="R182" s="23"/>
      <c r="S182" s="23"/>
      <c r="T182" s="23"/>
      <c r="U182" s="23"/>
      <c r="V182" s="24"/>
      <c r="W182" s="24"/>
      <c r="X182" s="24"/>
      <c r="Y182" s="24"/>
      <c r="Z182" s="24"/>
      <c r="AA182" s="24"/>
      <c r="AB182" s="24"/>
      <c r="AC182" s="24"/>
      <c r="AD182" s="24"/>
      <c r="AE182" s="24"/>
      <c r="AF182" s="24"/>
      <c r="AG182" s="24"/>
      <c r="AH182" s="24"/>
      <c r="AI182" s="24"/>
      <c r="AJ182" s="24"/>
      <c r="AK182" s="24"/>
      <c r="AL182" s="24"/>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c r="CB182" s="25"/>
      <c r="CC182" s="25"/>
      <c r="CD182" s="25"/>
      <c r="CE182" s="25"/>
      <c r="CF182" s="25"/>
      <c r="CG182" s="25"/>
      <c r="CH182" s="25"/>
      <c r="CI182" s="25"/>
      <c r="CJ182" s="25"/>
      <c r="CK182" s="25"/>
      <c r="CL182" s="25"/>
      <c r="CM182" s="25"/>
      <c r="CN182" s="25"/>
      <c r="CO182" s="25"/>
      <c r="CP182" s="25"/>
      <c r="CQ182" s="25"/>
      <c r="CR182" s="25"/>
      <c r="CS182" s="25"/>
      <c r="CT182" s="25"/>
      <c r="CU182" s="25"/>
      <c r="CV182" s="25"/>
      <c r="CW182" s="25"/>
      <c r="CX182" s="25"/>
      <c r="CY182" s="25"/>
      <c r="CZ182" s="25"/>
      <c r="DA182" s="25"/>
      <c r="DB182" s="25"/>
      <c r="DC182" s="25"/>
      <c r="DD182" s="25"/>
      <c r="DE182" s="25"/>
      <c r="DF182" s="25"/>
      <c r="DG182" s="25"/>
      <c r="DH182" s="25"/>
      <c r="DI182" s="25"/>
      <c r="DJ182" s="25"/>
    </row>
    <row r="183" spans="1:114" s="44" customFormat="1" ht="15.75" customHeight="1">
      <c r="A183" s="109">
        <f t="shared" si="28"/>
        <v>157</v>
      </c>
      <c r="B183" s="87">
        <v>12</v>
      </c>
      <c r="C183" s="88" t="s">
        <v>372</v>
      </c>
      <c r="D183" s="89" t="s">
        <v>375</v>
      </c>
      <c r="E183" s="88" t="s">
        <v>3</v>
      </c>
      <c r="F183" s="90">
        <v>1583499</v>
      </c>
      <c r="G183" s="91"/>
      <c r="H183" s="92">
        <f>1952990+368060/2+113320/2</f>
        <v>2193680</v>
      </c>
      <c r="I183" s="93" t="s">
        <v>498</v>
      </c>
      <c r="J183" s="22">
        <f t="shared" si="26"/>
        <v>1583499</v>
      </c>
      <c r="K183" s="22">
        <f t="shared" si="27"/>
        <v>2193680</v>
      </c>
      <c r="L183" s="23"/>
      <c r="M183" s="23"/>
      <c r="N183" s="23"/>
      <c r="O183" s="23"/>
      <c r="P183" s="23"/>
      <c r="Q183" s="23"/>
      <c r="R183" s="23"/>
      <c r="S183" s="23"/>
      <c r="T183" s="23"/>
      <c r="U183" s="23"/>
      <c r="V183" s="24"/>
      <c r="W183" s="24"/>
      <c r="X183" s="24"/>
      <c r="Y183" s="24"/>
      <c r="Z183" s="24"/>
      <c r="AA183" s="24"/>
      <c r="AB183" s="24"/>
      <c r="AC183" s="24"/>
      <c r="AD183" s="24"/>
      <c r="AE183" s="24"/>
      <c r="AF183" s="24"/>
      <c r="AG183" s="24"/>
      <c r="AH183" s="24"/>
      <c r="AI183" s="24"/>
      <c r="AJ183" s="24"/>
      <c r="AK183" s="24"/>
      <c r="AL183" s="24"/>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c r="CC183" s="25"/>
      <c r="CD183" s="25"/>
      <c r="CE183" s="25"/>
      <c r="CF183" s="25"/>
      <c r="CG183" s="25"/>
      <c r="CH183" s="25"/>
      <c r="CI183" s="25"/>
      <c r="CJ183" s="25"/>
      <c r="CK183" s="25"/>
      <c r="CL183" s="25"/>
      <c r="CM183" s="25"/>
      <c r="CN183" s="25"/>
      <c r="CO183" s="25"/>
      <c r="CP183" s="25"/>
      <c r="CQ183" s="25"/>
      <c r="CR183" s="25"/>
      <c r="CS183" s="25"/>
      <c r="CT183" s="25"/>
      <c r="CU183" s="25"/>
      <c r="CV183" s="25"/>
      <c r="CW183" s="25"/>
      <c r="CX183" s="25"/>
      <c r="CY183" s="25"/>
      <c r="CZ183" s="25"/>
      <c r="DA183" s="25"/>
      <c r="DB183" s="25"/>
      <c r="DC183" s="25"/>
      <c r="DD183" s="25"/>
      <c r="DE183" s="25"/>
      <c r="DF183" s="25"/>
      <c r="DG183" s="25"/>
      <c r="DH183" s="25"/>
      <c r="DI183" s="25"/>
      <c r="DJ183" s="25"/>
    </row>
    <row r="184" spans="1:114" s="44" customFormat="1" ht="15.75" customHeight="1">
      <c r="A184" s="109">
        <f t="shared" si="28"/>
        <v>158</v>
      </c>
      <c r="B184" s="87">
        <v>13</v>
      </c>
      <c r="C184" s="88" t="s">
        <v>373</v>
      </c>
      <c r="D184" s="89" t="s">
        <v>376</v>
      </c>
      <c r="E184" s="88" t="s">
        <v>3</v>
      </c>
      <c r="F184" s="90">
        <v>1005000</v>
      </c>
      <c r="G184" s="91"/>
      <c r="H184" s="92">
        <f>897000*2</f>
        <v>1794000</v>
      </c>
      <c r="I184" s="93" t="s">
        <v>498</v>
      </c>
      <c r="J184" s="22">
        <f t="shared" si="26"/>
        <v>1005000</v>
      </c>
      <c r="K184" s="22">
        <f t="shared" si="27"/>
        <v>1794000</v>
      </c>
      <c r="L184" s="23"/>
      <c r="M184" s="23"/>
      <c r="N184" s="23"/>
      <c r="O184" s="23"/>
      <c r="P184" s="23"/>
      <c r="Q184" s="23"/>
      <c r="R184" s="23"/>
      <c r="S184" s="23"/>
      <c r="T184" s="23"/>
      <c r="U184" s="23"/>
      <c r="V184" s="24"/>
      <c r="W184" s="24"/>
      <c r="X184" s="24"/>
      <c r="Y184" s="24"/>
      <c r="Z184" s="24"/>
      <c r="AA184" s="24"/>
      <c r="AB184" s="24"/>
      <c r="AC184" s="24"/>
      <c r="AD184" s="24"/>
      <c r="AE184" s="24"/>
      <c r="AF184" s="24"/>
      <c r="AG184" s="24"/>
      <c r="AH184" s="24"/>
      <c r="AI184" s="24"/>
      <c r="AJ184" s="24"/>
      <c r="AK184" s="24"/>
      <c r="AL184" s="24"/>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c r="CC184" s="25"/>
      <c r="CD184" s="25"/>
      <c r="CE184" s="25"/>
      <c r="CF184" s="25"/>
      <c r="CG184" s="25"/>
      <c r="CH184" s="25"/>
      <c r="CI184" s="25"/>
      <c r="CJ184" s="25"/>
      <c r="CK184" s="25"/>
      <c r="CL184" s="25"/>
      <c r="CM184" s="25"/>
      <c r="CN184" s="25"/>
      <c r="CO184" s="25"/>
      <c r="CP184" s="25"/>
      <c r="CQ184" s="25"/>
      <c r="CR184" s="25"/>
      <c r="CS184" s="25"/>
      <c r="CT184" s="25"/>
      <c r="CU184" s="25"/>
      <c r="CV184" s="25"/>
      <c r="CW184" s="25"/>
      <c r="CX184" s="25"/>
      <c r="CY184" s="25"/>
      <c r="CZ184" s="25"/>
      <c r="DA184" s="25"/>
      <c r="DB184" s="25"/>
      <c r="DC184" s="25"/>
      <c r="DD184" s="25"/>
      <c r="DE184" s="25"/>
      <c r="DF184" s="25"/>
      <c r="DG184" s="25"/>
      <c r="DH184" s="25"/>
      <c r="DI184" s="25"/>
      <c r="DJ184" s="25"/>
    </row>
    <row r="185" spans="1:114" s="44" customFormat="1" ht="15.75" customHeight="1">
      <c r="A185" s="109">
        <f t="shared" si="28"/>
        <v>159</v>
      </c>
      <c r="B185" s="87">
        <v>14</v>
      </c>
      <c r="C185" s="88" t="s">
        <v>378</v>
      </c>
      <c r="D185" s="89" t="s">
        <v>664</v>
      </c>
      <c r="E185" s="88" t="s">
        <v>354</v>
      </c>
      <c r="F185" s="90">
        <f>300538.87+2620000</f>
        <v>2920538.87</v>
      </c>
      <c r="G185" s="91"/>
      <c r="H185" s="92">
        <v>1446000</v>
      </c>
      <c r="I185" s="93" t="s">
        <v>498</v>
      </c>
      <c r="J185" s="22">
        <f t="shared" si="26"/>
        <v>2920538.87</v>
      </c>
      <c r="K185" s="22">
        <f t="shared" si="27"/>
        <v>1446000</v>
      </c>
      <c r="L185" s="23"/>
      <c r="M185" s="23"/>
      <c r="N185" s="23"/>
      <c r="O185" s="23"/>
      <c r="P185" s="23"/>
      <c r="Q185" s="23"/>
      <c r="R185" s="23"/>
      <c r="S185" s="23"/>
      <c r="T185" s="23"/>
      <c r="U185" s="23"/>
      <c r="V185" s="24"/>
      <c r="W185" s="24"/>
      <c r="X185" s="24"/>
      <c r="Y185" s="24"/>
      <c r="Z185" s="24"/>
      <c r="AA185" s="24"/>
      <c r="AB185" s="24"/>
      <c r="AC185" s="24"/>
      <c r="AD185" s="24"/>
      <c r="AE185" s="24"/>
      <c r="AF185" s="24"/>
      <c r="AG185" s="24"/>
      <c r="AH185" s="24"/>
      <c r="AI185" s="24"/>
      <c r="AJ185" s="24"/>
      <c r="AK185" s="24"/>
      <c r="AL185" s="24"/>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c r="CC185" s="25"/>
      <c r="CD185" s="25"/>
      <c r="CE185" s="25"/>
      <c r="CF185" s="25"/>
      <c r="CG185" s="25"/>
      <c r="CH185" s="25"/>
      <c r="CI185" s="25"/>
      <c r="CJ185" s="25"/>
      <c r="CK185" s="25"/>
      <c r="CL185" s="25"/>
      <c r="CM185" s="25"/>
      <c r="CN185" s="25"/>
      <c r="CO185" s="25"/>
      <c r="CP185" s="25"/>
      <c r="CQ185" s="25"/>
      <c r="CR185" s="25"/>
      <c r="CS185" s="25"/>
      <c r="CT185" s="25"/>
      <c r="CU185" s="25"/>
      <c r="CV185" s="25"/>
      <c r="CW185" s="25"/>
      <c r="CX185" s="25"/>
      <c r="CY185" s="25"/>
      <c r="CZ185" s="25"/>
      <c r="DA185" s="25"/>
      <c r="DB185" s="25"/>
      <c r="DC185" s="25"/>
      <c r="DD185" s="25"/>
      <c r="DE185" s="25"/>
      <c r="DF185" s="25"/>
      <c r="DG185" s="25"/>
      <c r="DH185" s="25"/>
      <c r="DI185" s="25"/>
      <c r="DJ185" s="25"/>
    </row>
    <row r="186" spans="1:114" s="48" customFormat="1" ht="15.75" customHeight="1">
      <c r="A186" s="109">
        <f t="shared" si="28"/>
        <v>160</v>
      </c>
      <c r="B186" s="87">
        <v>15</v>
      </c>
      <c r="C186" s="88" t="s">
        <v>379</v>
      </c>
      <c r="D186" s="89" t="s">
        <v>380</v>
      </c>
      <c r="E186" s="88" t="s">
        <v>425</v>
      </c>
      <c r="F186" s="90">
        <v>10201.2</v>
      </c>
      <c r="G186" s="91"/>
      <c r="H186" s="92">
        <v>100000</v>
      </c>
      <c r="I186" s="93" t="s">
        <v>498</v>
      </c>
      <c r="J186" s="22">
        <f t="shared" si="26"/>
        <v>10201.2</v>
      </c>
      <c r="K186" s="22">
        <f t="shared" si="27"/>
        <v>100000</v>
      </c>
      <c r="L186" s="23"/>
      <c r="M186" s="23"/>
      <c r="N186" s="23"/>
      <c r="O186" s="23"/>
      <c r="P186" s="23"/>
      <c r="Q186" s="23"/>
      <c r="R186" s="23"/>
      <c r="S186" s="23"/>
      <c r="T186" s="23"/>
      <c r="U186" s="23"/>
      <c r="V186" s="24"/>
      <c r="W186" s="24"/>
      <c r="X186" s="24"/>
      <c r="Y186" s="24"/>
      <c r="Z186" s="24"/>
      <c r="AA186" s="24"/>
      <c r="AB186" s="24"/>
      <c r="AC186" s="24"/>
      <c r="AD186" s="24"/>
      <c r="AE186" s="24"/>
      <c r="AF186" s="24"/>
      <c r="AG186" s="24"/>
      <c r="AH186" s="24"/>
      <c r="AI186" s="24"/>
      <c r="AJ186" s="24"/>
      <c r="AK186" s="24"/>
      <c r="AL186" s="24"/>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c r="CC186" s="25"/>
      <c r="CD186" s="25"/>
      <c r="CE186" s="25"/>
      <c r="CF186" s="25"/>
      <c r="CG186" s="25"/>
      <c r="CH186" s="25"/>
      <c r="CI186" s="25"/>
      <c r="CJ186" s="25"/>
      <c r="CK186" s="25"/>
      <c r="CL186" s="25"/>
      <c r="CM186" s="25"/>
      <c r="CN186" s="25"/>
      <c r="CO186" s="25"/>
      <c r="CP186" s="25"/>
      <c r="CQ186" s="25"/>
      <c r="CR186" s="25"/>
      <c r="CS186" s="25"/>
      <c r="CT186" s="25"/>
      <c r="CU186" s="25"/>
      <c r="CV186" s="25"/>
      <c r="CW186" s="25"/>
      <c r="CX186" s="25"/>
      <c r="CY186" s="25"/>
      <c r="CZ186" s="25"/>
      <c r="DA186" s="25"/>
      <c r="DB186" s="25"/>
      <c r="DC186" s="25"/>
      <c r="DD186" s="25"/>
      <c r="DE186" s="25"/>
      <c r="DF186" s="25"/>
      <c r="DG186" s="25"/>
      <c r="DH186" s="25"/>
      <c r="DI186" s="25"/>
      <c r="DJ186" s="25"/>
    </row>
    <row r="187" spans="1:38" s="25" customFormat="1" ht="15.75" customHeight="1">
      <c r="A187" s="109">
        <f t="shared" si="28"/>
        <v>161</v>
      </c>
      <c r="B187" s="87">
        <v>16</v>
      </c>
      <c r="C187" s="88" t="s">
        <v>381</v>
      </c>
      <c r="D187" s="89" t="s">
        <v>665</v>
      </c>
      <c r="E187" s="88" t="s">
        <v>428</v>
      </c>
      <c r="F187" s="90">
        <v>22119121</v>
      </c>
      <c r="G187" s="91"/>
      <c r="H187" s="92"/>
      <c r="I187" s="93"/>
      <c r="J187" s="22">
        <f t="shared" si="26"/>
        <v>22119121</v>
      </c>
      <c r="K187" s="22">
        <f t="shared" si="27"/>
        <v>0</v>
      </c>
      <c r="L187" s="23"/>
      <c r="M187" s="23"/>
      <c r="N187" s="23"/>
      <c r="O187" s="23"/>
      <c r="P187" s="23"/>
      <c r="Q187" s="23"/>
      <c r="R187" s="23"/>
      <c r="S187" s="23"/>
      <c r="T187" s="23"/>
      <c r="U187" s="23"/>
      <c r="V187" s="24"/>
      <c r="W187" s="24"/>
      <c r="X187" s="24"/>
      <c r="Y187" s="24"/>
      <c r="Z187" s="24"/>
      <c r="AA187" s="24"/>
      <c r="AB187" s="24"/>
      <c r="AC187" s="24"/>
      <c r="AD187" s="24"/>
      <c r="AE187" s="24"/>
      <c r="AF187" s="24"/>
      <c r="AG187" s="24"/>
      <c r="AH187" s="24"/>
      <c r="AI187" s="24"/>
      <c r="AJ187" s="24"/>
      <c r="AK187" s="24"/>
      <c r="AL187" s="24"/>
    </row>
    <row r="188" spans="1:38" s="25" customFormat="1" ht="15.75" customHeight="1">
      <c r="A188" s="109">
        <f t="shared" si="28"/>
        <v>162</v>
      </c>
      <c r="B188" s="87">
        <f t="shared" si="28"/>
        <v>17</v>
      </c>
      <c r="C188" s="88" t="s">
        <v>381</v>
      </c>
      <c r="D188" s="89" t="s">
        <v>666</v>
      </c>
      <c r="E188" s="88" t="s">
        <v>428</v>
      </c>
      <c r="F188" s="90">
        <v>32690121</v>
      </c>
      <c r="G188" s="91"/>
      <c r="H188" s="92"/>
      <c r="I188" s="101"/>
      <c r="J188" s="22">
        <f t="shared" si="26"/>
        <v>32690121</v>
      </c>
      <c r="K188" s="22">
        <f t="shared" si="27"/>
        <v>0</v>
      </c>
      <c r="L188" s="23"/>
      <c r="M188" s="23"/>
      <c r="N188" s="23"/>
      <c r="O188" s="23"/>
      <c r="P188" s="23"/>
      <c r="Q188" s="23"/>
      <c r="R188" s="23"/>
      <c r="S188" s="23"/>
      <c r="T188" s="23"/>
      <c r="U188" s="23"/>
      <c r="V188" s="24"/>
      <c r="W188" s="24"/>
      <c r="X188" s="24"/>
      <c r="Y188" s="24"/>
      <c r="Z188" s="24"/>
      <c r="AA188" s="24"/>
      <c r="AB188" s="24"/>
      <c r="AC188" s="24"/>
      <c r="AD188" s="24"/>
      <c r="AE188" s="24"/>
      <c r="AF188" s="24"/>
      <c r="AG188" s="24"/>
      <c r="AH188" s="24"/>
      <c r="AI188" s="24"/>
      <c r="AJ188" s="24"/>
      <c r="AK188" s="24"/>
      <c r="AL188" s="24"/>
    </row>
    <row r="189" spans="1:38" s="25" customFormat="1" ht="15.75" customHeight="1">
      <c r="A189" s="109">
        <f aca="true" t="shared" si="29" ref="A189:B194">+A188+1</f>
        <v>163</v>
      </c>
      <c r="B189" s="87">
        <f t="shared" si="29"/>
        <v>18</v>
      </c>
      <c r="C189" s="88" t="s">
        <v>381</v>
      </c>
      <c r="D189" s="89" t="s">
        <v>667</v>
      </c>
      <c r="E189" s="88" t="s">
        <v>428</v>
      </c>
      <c r="F189" s="90">
        <v>22885121</v>
      </c>
      <c r="G189" s="91"/>
      <c r="H189" s="92"/>
      <c r="I189" s="101"/>
      <c r="J189" s="22">
        <f t="shared" si="26"/>
        <v>22885121</v>
      </c>
      <c r="K189" s="22">
        <f t="shared" si="27"/>
        <v>0</v>
      </c>
      <c r="L189" s="23"/>
      <c r="M189" s="23"/>
      <c r="N189" s="23"/>
      <c r="O189" s="23"/>
      <c r="P189" s="23"/>
      <c r="Q189" s="23"/>
      <c r="R189" s="23"/>
      <c r="S189" s="23"/>
      <c r="T189" s="23"/>
      <c r="U189" s="23"/>
      <c r="V189" s="24"/>
      <c r="W189" s="24"/>
      <c r="X189" s="24"/>
      <c r="Y189" s="24"/>
      <c r="Z189" s="24"/>
      <c r="AA189" s="24"/>
      <c r="AB189" s="24"/>
      <c r="AC189" s="24"/>
      <c r="AD189" s="24"/>
      <c r="AE189" s="24"/>
      <c r="AF189" s="24"/>
      <c r="AG189" s="24"/>
      <c r="AH189" s="24"/>
      <c r="AI189" s="24"/>
      <c r="AJ189" s="24"/>
      <c r="AK189" s="24"/>
      <c r="AL189" s="24"/>
    </row>
    <row r="190" spans="1:38" s="25" customFormat="1" ht="15.75" customHeight="1">
      <c r="A190" s="109">
        <f t="shared" si="29"/>
        <v>164</v>
      </c>
      <c r="B190" s="87">
        <f t="shared" si="29"/>
        <v>19</v>
      </c>
      <c r="C190" s="88" t="s">
        <v>381</v>
      </c>
      <c r="D190" s="89" t="s">
        <v>668</v>
      </c>
      <c r="E190" s="88" t="s">
        <v>428</v>
      </c>
      <c r="F190" s="90">
        <v>67879121</v>
      </c>
      <c r="G190" s="91"/>
      <c r="H190" s="92"/>
      <c r="I190" s="93"/>
      <c r="J190" s="22">
        <f t="shared" si="26"/>
        <v>67879121</v>
      </c>
      <c r="K190" s="22">
        <f t="shared" si="27"/>
        <v>0</v>
      </c>
      <c r="L190" s="23"/>
      <c r="M190" s="23"/>
      <c r="N190" s="23"/>
      <c r="O190" s="23"/>
      <c r="P190" s="23"/>
      <c r="Q190" s="23"/>
      <c r="R190" s="23"/>
      <c r="S190" s="23"/>
      <c r="T190" s="23"/>
      <c r="U190" s="23"/>
      <c r="V190" s="24"/>
      <c r="W190" s="24"/>
      <c r="X190" s="24"/>
      <c r="Y190" s="24"/>
      <c r="Z190" s="24"/>
      <c r="AA190" s="24"/>
      <c r="AB190" s="24"/>
      <c r="AC190" s="24"/>
      <c r="AD190" s="24"/>
      <c r="AE190" s="24"/>
      <c r="AF190" s="24"/>
      <c r="AG190" s="24"/>
      <c r="AH190" s="24"/>
      <c r="AI190" s="24"/>
      <c r="AJ190" s="24"/>
      <c r="AK190" s="24"/>
      <c r="AL190" s="24"/>
    </row>
    <row r="191" spans="1:38" s="25" customFormat="1" ht="15.75" customHeight="1">
      <c r="A191" s="111">
        <f t="shared" si="29"/>
        <v>165</v>
      </c>
      <c r="B191" s="95">
        <f t="shared" si="29"/>
        <v>20</v>
      </c>
      <c r="C191" s="96" t="s">
        <v>381</v>
      </c>
      <c r="D191" s="97" t="s">
        <v>397</v>
      </c>
      <c r="E191" s="96" t="s">
        <v>426</v>
      </c>
      <c r="F191" s="98">
        <f>9138160/3.05</f>
        <v>2996118.0327868853</v>
      </c>
      <c r="G191" s="99"/>
      <c r="H191" s="92"/>
      <c r="I191" s="93"/>
      <c r="J191" s="22">
        <f t="shared" si="26"/>
        <v>2996118.0327868853</v>
      </c>
      <c r="K191" s="22">
        <f t="shared" si="27"/>
        <v>0</v>
      </c>
      <c r="L191" s="23"/>
      <c r="M191" s="23"/>
      <c r="N191" s="23"/>
      <c r="O191" s="23"/>
      <c r="P191" s="23"/>
      <c r="Q191" s="23"/>
      <c r="R191" s="23"/>
      <c r="S191" s="23"/>
      <c r="T191" s="23"/>
      <c r="U191" s="23"/>
      <c r="V191" s="24"/>
      <c r="W191" s="24"/>
      <c r="X191" s="24"/>
      <c r="Y191" s="24"/>
      <c r="Z191" s="24"/>
      <c r="AA191" s="24"/>
      <c r="AB191" s="24"/>
      <c r="AC191" s="24"/>
      <c r="AD191" s="24"/>
      <c r="AE191" s="24"/>
      <c r="AF191" s="24"/>
      <c r="AG191" s="24"/>
      <c r="AH191" s="24"/>
      <c r="AI191" s="24"/>
      <c r="AJ191" s="24"/>
      <c r="AK191" s="24"/>
      <c r="AL191" s="24"/>
    </row>
    <row r="192" spans="1:38" s="25" customFormat="1" ht="15.75" customHeight="1">
      <c r="A192" s="109">
        <f t="shared" si="29"/>
        <v>166</v>
      </c>
      <c r="B192" s="87">
        <f t="shared" si="29"/>
        <v>21</v>
      </c>
      <c r="C192" s="88" t="s">
        <v>382</v>
      </c>
      <c r="D192" s="89" t="s">
        <v>417</v>
      </c>
      <c r="E192" s="88" t="s">
        <v>3</v>
      </c>
      <c r="F192" s="90">
        <f>445005.8-10077+8521-13000+9254.5</f>
        <v>439704.3</v>
      </c>
      <c r="G192" s="91"/>
      <c r="H192" s="92">
        <v>2356872.7</v>
      </c>
      <c r="I192" s="93" t="s">
        <v>498</v>
      </c>
      <c r="J192" s="22">
        <f t="shared" si="26"/>
        <v>439704.3</v>
      </c>
      <c r="K192" s="22">
        <f t="shared" si="27"/>
        <v>2356872.7</v>
      </c>
      <c r="L192" s="23"/>
      <c r="M192" s="23"/>
      <c r="N192" s="23"/>
      <c r="O192" s="23"/>
      <c r="P192" s="23"/>
      <c r="Q192" s="23"/>
      <c r="R192" s="23"/>
      <c r="S192" s="23"/>
      <c r="T192" s="23"/>
      <c r="U192" s="23"/>
      <c r="V192" s="24"/>
      <c r="W192" s="24"/>
      <c r="X192" s="24"/>
      <c r="Y192" s="24"/>
      <c r="Z192" s="24"/>
      <c r="AA192" s="24"/>
      <c r="AB192" s="24"/>
      <c r="AC192" s="24"/>
      <c r="AD192" s="24"/>
      <c r="AE192" s="24"/>
      <c r="AF192" s="24"/>
      <c r="AG192" s="24"/>
      <c r="AH192" s="24"/>
      <c r="AI192" s="24"/>
      <c r="AJ192" s="24"/>
      <c r="AK192" s="24"/>
      <c r="AL192" s="24"/>
    </row>
    <row r="193" spans="1:38" s="25" customFormat="1" ht="15.75" customHeight="1">
      <c r="A193" s="109">
        <f t="shared" si="29"/>
        <v>167</v>
      </c>
      <c r="B193" s="87">
        <f t="shared" si="29"/>
        <v>22</v>
      </c>
      <c r="C193" s="88" t="s">
        <v>383</v>
      </c>
      <c r="D193" s="89" t="s">
        <v>413</v>
      </c>
      <c r="E193" s="88" t="s">
        <v>3</v>
      </c>
      <c r="F193" s="90">
        <v>1960571.5</v>
      </c>
      <c r="G193" s="91"/>
      <c r="H193" s="92">
        <v>1961020</v>
      </c>
      <c r="I193" s="93" t="s">
        <v>498</v>
      </c>
      <c r="J193" s="22">
        <f t="shared" si="26"/>
        <v>1960571.5</v>
      </c>
      <c r="K193" s="22">
        <f t="shared" si="27"/>
        <v>1961020</v>
      </c>
      <c r="L193" s="23"/>
      <c r="M193" s="23"/>
      <c r="N193" s="23"/>
      <c r="O193" s="23"/>
      <c r="P193" s="23"/>
      <c r="Q193" s="23"/>
      <c r="R193" s="23"/>
      <c r="S193" s="23"/>
      <c r="T193" s="23"/>
      <c r="U193" s="23"/>
      <c r="V193" s="24"/>
      <c r="W193" s="24"/>
      <c r="X193" s="24"/>
      <c r="Y193" s="24"/>
      <c r="Z193" s="24"/>
      <c r="AA193" s="24"/>
      <c r="AB193" s="24"/>
      <c r="AC193" s="24"/>
      <c r="AD193" s="24"/>
      <c r="AE193" s="24"/>
      <c r="AF193" s="24"/>
      <c r="AG193" s="24"/>
      <c r="AH193" s="24"/>
      <c r="AI193" s="24"/>
      <c r="AJ193" s="24"/>
      <c r="AK193" s="24"/>
      <c r="AL193" s="24"/>
    </row>
    <row r="194" spans="1:115" s="50" customFormat="1" ht="15.75" customHeight="1">
      <c r="A194" s="112">
        <f t="shared" si="29"/>
        <v>168</v>
      </c>
      <c r="B194" s="113">
        <f t="shared" si="29"/>
        <v>23</v>
      </c>
      <c r="C194" s="114" t="s">
        <v>385</v>
      </c>
      <c r="D194" s="115" t="s">
        <v>418</v>
      </c>
      <c r="E194" s="114" t="s">
        <v>3</v>
      </c>
      <c r="F194" s="116">
        <f>122620+89020+119620</f>
        <v>331260</v>
      </c>
      <c r="G194" s="117"/>
      <c r="H194" s="118">
        <f>306500+222500+299000</f>
        <v>828000</v>
      </c>
      <c r="I194" s="120" t="s">
        <v>498</v>
      </c>
      <c r="J194" s="22">
        <f t="shared" si="26"/>
        <v>331260</v>
      </c>
      <c r="K194" s="22">
        <f t="shared" si="27"/>
        <v>828000</v>
      </c>
      <c r="L194" s="23"/>
      <c r="M194" s="23"/>
      <c r="N194" s="23"/>
      <c r="O194" s="23"/>
      <c r="P194" s="23"/>
      <c r="Q194" s="23"/>
      <c r="R194" s="23"/>
      <c r="S194" s="23"/>
      <c r="T194" s="23"/>
      <c r="U194" s="23"/>
      <c r="V194" s="24"/>
      <c r="W194" s="24"/>
      <c r="X194" s="24"/>
      <c r="Y194" s="24"/>
      <c r="Z194" s="24"/>
      <c r="AA194" s="24"/>
      <c r="AB194" s="24"/>
      <c r="AC194" s="24"/>
      <c r="AD194" s="24"/>
      <c r="AE194" s="24"/>
      <c r="AF194" s="24"/>
      <c r="AG194" s="24"/>
      <c r="AH194" s="24"/>
      <c r="AI194" s="24"/>
      <c r="AJ194" s="24"/>
      <c r="AK194" s="24"/>
      <c r="AL194" s="24"/>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c r="CG194" s="25"/>
      <c r="CH194" s="25"/>
      <c r="CI194" s="25"/>
      <c r="CJ194" s="25"/>
      <c r="CK194" s="25"/>
      <c r="CL194" s="25"/>
      <c r="CM194" s="25"/>
      <c r="CN194" s="25"/>
      <c r="CO194" s="25"/>
      <c r="CP194" s="25"/>
      <c r="CQ194" s="25"/>
      <c r="CR194" s="25"/>
      <c r="CS194" s="25"/>
      <c r="CT194" s="25"/>
      <c r="CU194" s="25"/>
      <c r="CV194" s="25"/>
      <c r="CW194" s="25"/>
      <c r="CX194" s="25"/>
      <c r="CY194" s="25"/>
      <c r="CZ194" s="25"/>
      <c r="DA194" s="25"/>
      <c r="DB194" s="25"/>
      <c r="DC194" s="25"/>
      <c r="DD194" s="25"/>
      <c r="DE194" s="25"/>
      <c r="DF194" s="25"/>
      <c r="DG194" s="25"/>
      <c r="DH194" s="25"/>
      <c r="DI194" s="25"/>
      <c r="DJ194" s="25"/>
      <c r="DK194" s="49"/>
    </row>
    <row r="195" spans="1:114" s="26" customFormat="1" ht="15.75" customHeight="1">
      <c r="A195" s="167" t="s">
        <v>230</v>
      </c>
      <c r="B195" s="168"/>
      <c r="C195" s="168"/>
      <c r="D195" s="168"/>
      <c r="E195" s="18"/>
      <c r="F195" s="19">
        <f>SUM(F172:F194)</f>
        <v>251186509.0395654</v>
      </c>
      <c r="G195" s="19"/>
      <c r="H195" s="20">
        <f>SUM(H172:H194)</f>
        <v>23729712.7</v>
      </c>
      <c r="I195" s="21"/>
      <c r="J195" s="22"/>
      <c r="K195" s="33"/>
      <c r="L195" s="23"/>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c r="CE195" s="25"/>
      <c r="CF195" s="25"/>
      <c r="CG195" s="25"/>
      <c r="CH195" s="25"/>
      <c r="CI195" s="25"/>
      <c r="CJ195" s="25"/>
      <c r="CK195" s="25"/>
      <c r="CL195" s="25"/>
      <c r="CM195" s="25"/>
      <c r="CN195" s="25"/>
      <c r="CO195" s="25"/>
      <c r="CP195" s="25"/>
      <c r="CQ195" s="25"/>
      <c r="CR195" s="25"/>
      <c r="CS195" s="25"/>
      <c r="CT195" s="25"/>
      <c r="CU195" s="25"/>
      <c r="CV195" s="25"/>
      <c r="CW195" s="25"/>
      <c r="CX195" s="25"/>
      <c r="CY195" s="25"/>
      <c r="CZ195" s="25"/>
      <c r="DA195" s="25"/>
      <c r="DB195" s="25"/>
      <c r="DC195" s="25"/>
      <c r="DD195" s="25"/>
      <c r="DE195" s="25"/>
      <c r="DF195" s="25"/>
      <c r="DG195" s="25"/>
      <c r="DH195" s="25"/>
      <c r="DI195" s="25"/>
      <c r="DJ195" s="25"/>
    </row>
    <row r="196" spans="1:114" s="34" customFormat="1" ht="15.75" customHeight="1">
      <c r="A196" s="170">
        <v>1999</v>
      </c>
      <c r="B196" s="171"/>
      <c r="C196" s="171"/>
      <c r="D196" s="171"/>
      <c r="E196" s="171"/>
      <c r="F196" s="171"/>
      <c r="G196" s="171"/>
      <c r="H196" s="171"/>
      <c r="I196" s="172"/>
      <c r="J196" s="22">
        <f aca="true" t="shared" si="30" ref="J196:J212">+F196</f>
        <v>0</v>
      </c>
      <c r="K196" s="22">
        <f aca="true" t="shared" si="31" ref="K196:K212">+H196</f>
        <v>0</v>
      </c>
      <c r="L196" s="23"/>
      <c r="M196" s="23"/>
      <c r="N196" s="23"/>
      <c r="O196" s="23"/>
      <c r="P196" s="23"/>
      <c r="Q196" s="23"/>
      <c r="R196" s="23"/>
      <c r="S196" s="23"/>
      <c r="T196" s="23"/>
      <c r="U196" s="23"/>
      <c r="V196" s="24"/>
      <c r="W196" s="24"/>
      <c r="X196" s="24"/>
      <c r="Y196" s="24"/>
      <c r="Z196" s="24"/>
      <c r="AA196" s="24"/>
      <c r="AB196" s="24"/>
      <c r="AC196" s="24"/>
      <c r="AD196" s="24"/>
      <c r="AE196" s="24"/>
      <c r="AF196" s="24"/>
      <c r="AG196" s="24"/>
      <c r="AH196" s="24"/>
      <c r="AI196" s="24"/>
      <c r="AJ196" s="24"/>
      <c r="AK196" s="24"/>
      <c r="AL196" s="24"/>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c r="CG196" s="25"/>
      <c r="CH196" s="25"/>
      <c r="CI196" s="25"/>
      <c r="CJ196" s="25"/>
      <c r="CK196" s="25"/>
      <c r="CL196" s="25"/>
      <c r="CM196" s="25"/>
      <c r="CN196" s="25"/>
      <c r="CO196" s="25"/>
      <c r="CP196" s="25"/>
      <c r="CQ196" s="25"/>
      <c r="CR196" s="25"/>
      <c r="CS196" s="25"/>
      <c r="CT196" s="25"/>
      <c r="CU196" s="25"/>
      <c r="CV196" s="25"/>
      <c r="CW196" s="25"/>
      <c r="CX196" s="25"/>
      <c r="CY196" s="25"/>
      <c r="CZ196" s="25"/>
      <c r="DA196" s="25"/>
      <c r="DB196" s="25"/>
      <c r="DC196" s="25"/>
      <c r="DD196" s="25"/>
      <c r="DE196" s="25"/>
      <c r="DF196" s="25"/>
      <c r="DG196" s="25"/>
      <c r="DH196" s="25"/>
      <c r="DI196" s="25"/>
      <c r="DJ196" s="25"/>
    </row>
    <row r="197" spans="1:114" s="26" customFormat="1" ht="15.75" customHeight="1">
      <c r="A197" s="61">
        <f>A194+1</f>
        <v>169</v>
      </c>
      <c r="B197" s="62">
        <v>1</v>
      </c>
      <c r="C197" s="63" t="s">
        <v>386</v>
      </c>
      <c r="D197" s="64" t="s">
        <v>387</v>
      </c>
      <c r="E197" s="63" t="s">
        <v>428</v>
      </c>
      <c r="F197" s="84">
        <f>33994884.1/3.372</f>
        <v>10081519.602609728</v>
      </c>
      <c r="G197" s="85"/>
      <c r="H197" s="65"/>
      <c r="I197" s="67"/>
      <c r="J197" s="22">
        <f t="shared" si="30"/>
        <v>10081519.602609728</v>
      </c>
      <c r="K197" s="22">
        <f t="shared" si="31"/>
        <v>0</v>
      </c>
      <c r="L197" s="23"/>
      <c r="M197" s="23"/>
      <c r="N197" s="23"/>
      <c r="O197" s="23"/>
      <c r="P197" s="23"/>
      <c r="Q197" s="23"/>
      <c r="R197" s="23"/>
      <c r="S197" s="23"/>
      <c r="T197" s="23"/>
      <c r="U197" s="23"/>
      <c r="V197" s="24"/>
      <c r="W197" s="24"/>
      <c r="X197" s="24"/>
      <c r="Y197" s="24"/>
      <c r="Z197" s="24"/>
      <c r="AA197" s="24"/>
      <c r="AB197" s="24"/>
      <c r="AC197" s="24"/>
      <c r="AD197" s="24"/>
      <c r="AE197" s="24"/>
      <c r="AF197" s="24"/>
      <c r="AG197" s="24"/>
      <c r="AH197" s="24"/>
      <c r="AI197" s="24"/>
      <c r="AJ197" s="24"/>
      <c r="AK197" s="24"/>
      <c r="AL197" s="24"/>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c r="CC197" s="25"/>
      <c r="CD197" s="25"/>
      <c r="CE197" s="25"/>
      <c r="CF197" s="25"/>
      <c r="CG197" s="25"/>
      <c r="CH197" s="25"/>
      <c r="CI197" s="25"/>
      <c r="CJ197" s="25"/>
      <c r="CK197" s="25"/>
      <c r="CL197" s="25"/>
      <c r="CM197" s="25"/>
      <c r="CN197" s="25"/>
      <c r="CO197" s="25"/>
      <c r="CP197" s="25"/>
      <c r="CQ197" s="25"/>
      <c r="CR197" s="25"/>
      <c r="CS197" s="25"/>
      <c r="CT197" s="25"/>
      <c r="CU197" s="25"/>
      <c r="CV197" s="25"/>
      <c r="CW197" s="25"/>
      <c r="CX197" s="25"/>
      <c r="CY197" s="25"/>
      <c r="CZ197" s="25"/>
      <c r="DA197" s="25"/>
      <c r="DB197" s="25"/>
      <c r="DC197" s="25"/>
      <c r="DD197" s="25"/>
      <c r="DE197" s="25"/>
      <c r="DF197" s="25"/>
      <c r="DG197" s="25"/>
      <c r="DH197" s="25"/>
      <c r="DI197" s="25"/>
      <c r="DJ197" s="25"/>
    </row>
    <row r="198" spans="1:114" s="26" customFormat="1" ht="15.75" customHeight="1">
      <c r="A198" s="109">
        <f aca="true" t="shared" si="32" ref="A198:B212">+A197+1</f>
        <v>170</v>
      </c>
      <c r="B198" s="87">
        <v>2</v>
      </c>
      <c r="C198" s="88" t="s">
        <v>420</v>
      </c>
      <c r="D198" s="89" t="s">
        <v>421</v>
      </c>
      <c r="E198" s="88" t="s">
        <v>3</v>
      </c>
      <c r="F198" s="90">
        <v>23824</v>
      </c>
      <c r="G198" s="91"/>
      <c r="H198" s="92">
        <v>15830</v>
      </c>
      <c r="I198" s="93" t="s">
        <v>498</v>
      </c>
      <c r="J198" s="22">
        <f t="shared" si="30"/>
        <v>23824</v>
      </c>
      <c r="K198" s="22">
        <f t="shared" si="31"/>
        <v>15830</v>
      </c>
      <c r="L198" s="23"/>
      <c r="M198" s="23"/>
      <c r="N198" s="23"/>
      <c r="O198" s="23"/>
      <c r="P198" s="23"/>
      <c r="Q198" s="23"/>
      <c r="R198" s="23"/>
      <c r="S198" s="23"/>
      <c r="T198" s="23"/>
      <c r="U198" s="23"/>
      <c r="V198" s="24"/>
      <c r="W198" s="24"/>
      <c r="X198" s="24"/>
      <c r="Y198" s="24"/>
      <c r="Z198" s="24"/>
      <c r="AA198" s="24"/>
      <c r="AB198" s="24"/>
      <c r="AC198" s="24"/>
      <c r="AD198" s="24"/>
      <c r="AE198" s="24"/>
      <c r="AF198" s="24"/>
      <c r="AG198" s="24"/>
      <c r="AH198" s="24"/>
      <c r="AI198" s="24"/>
      <c r="AJ198" s="24"/>
      <c r="AK198" s="24"/>
      <c r="AL198" s="24"/>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c r="CF198" s="25"/>
      <c r="CG198" s="25"/>
      <c r="CH198" s="25"/>
      <c r="CI198" s="25"/>
      <c r="CJ198" s="25"/>
      <c r="CK198" s="25"/>
      <c r="CL198" s="25"/>
      <c r="CM198" s="25"/>
      <c r="CN198" s="25"/>
      <c r="CO198" s="25"/>
      <c r="CP198" s="25"/>
      <c r="CQ198" s="25"/>
      <c r="CR198" s="25"/>
      <c r="CS198" s="25"/>
      <c r="CT198" s="25"/>
      <c r="CU198" s="25"/>
      <c r="CV198" s="25"/>
      <c r="CW198" s="25"/>
      <c r="CX198" s="25"/>
      <c r="CY198" s="25"/>
      <c r="CZ198" s="25"/>
      <c r="DA198" s="25"/>
      <c r="DB198" s="25"/>
      <c r="DC198" s="25"/>
      <c r="DD198" s="25"/>
      <c r="DE198" s="25"/>
      <c r="DF198" s="25"/>
      <c r="DG198" s="25"/>
      <c r="DH198" s="25"/>
      <c r="DI198" s="25"/>
      <c r="DJ198" s="25"/>
    </row>
    <row r="199" spans="1:114" s="26" customFormat="1" ht="15.75" customHeight="1">
      <c r="A199" s="109">
        <f t="shared" si="32"/>
        <v>171</v>
      </c>
      <c r="B199" s="87">
        <v>3</v>
      </c>
      <c r="C199" s="88" t="s">
        <v>389</v>
      </c>
      <c r="D199" s="89" t="s">
        <v>419</v>
      </c>
      <c r="E199" s="88" t="s">
        <v>3</v>
      </c>
      <c r="F199" s="90">
        <f>23751+16670+53419+71430+27890</f>
        <v>193160</v>
      </c>
      <c r="G199" s="91"/>
      <c r="H199" s="92">
        <f>45750+41430+53100+108570+11110</f>
        <v>259960</v>
      </c>
      <c r="I199" s="93" t="s">
        <v>498</v>
      </c>
      <c r="J199" s="22">
        <f t="shared" si="30"/>
        <v>193160</v>
      </c>
      <c r="K199" s="22">
        <f t="shared" si="31"/>
        <v>259960</v>
      </c>
      <c r="L199" s="23"/>
      <c r="M199" s="23"/>
      <c r="N199" s="23"/>
      <c r="O199" s="23"/>
      <c r="P199" s="23"/>
      <c r="Q199" s="23"/>
      <c r="R199" s="23"/>
      <c r="S199" s="23"/>
      <c r="T199" s="23"/>
      <c r="U199" s="23"/>
      <c r="V199" s="24"/>
      <c r="W199" s="24"/>
      <c r="X199" s="24"/>
      <c r="Y199" s="24"/>
      <c r="Z199" s="24"/>
      <c r="AA199" s="24"/>
      <c r="AB199" s="24"/>
      <c r="AC199" s="24"/>
      <c r="AD199" s="24"/>
      <c r="AE199" s="24"/>
      <c r="AF199" s="24"/>
      <c r="AG199" s="24"/>
      <c r="AH199" s="24"/>
      <c r="AI199" s="24"/>
      <c r="AJ199" s="24"/>
      <c r="AK199" s="24"/>
      <c r="AL199" s="24"/>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c r="CC199" s="25"/>
      <c r="CD199" s="25"/>
      <c r="CE199" s="25"/>
      <c r="CF199" s="25"/>
      <c r="CG199" s="25"/>
      <c r="CH199" s="25"/>
      <c r="CI199" s="25"/>
      <c r="CJ199" s="25"/>
      <c r="CK199" s="25"/>
      <c r="CL199" s="25"/>
      <c r="CM199" s="25"/>
      <c r="CN199" s="25"/>
      <c r="CO199" s="25"/>
      <c r="CP199" s="25"/>
      <c r="CQ199" s="25"/>
      <c r="CR199" s="25"/>
      <c r="CS199" s="25"/>
      <c r="CT199" s="25"/>
      <c r="CU199" s="25"/>
      <c r="CV199" s="25"/>
      <c r="CW199" s="25"/>
      <c r="CX199" s="25"/>
      <c r="CY199" s="25"/>
      <c r="CZ199" s="25"/>
      <c r="DA199" s="25"/>
      <c r="DB199" s="25"/>
      <c r="DC199" s="25"/>
      <c r="DD199" s="25"/>
      <c r="DE199" s="25"/>
      <c r="DF199" s="25"/>
      <c r="DG199" s="25"/>
      <c r="DH199" s="25"/>
      <c r="DI199" s="25"/>
      <c r="DJ199" s="25"/>
    </row>
    <row r="200" spans="1:114" s="26" customFormat="1" ht="15.75" customHeight="1">
      <c r="A200" s="109">
        <f t="shared" si="32"/>
        <v>172</v>
      </c>
      <c r="B200" s="87">
        <f t="shared" si="32"/>
        <v>4</v>
      </c>
      <c r="C200" s="88" t="s">
        <v>390</v>
      </c>
      <c r="D200" s="89" t="s">
        <v>669</v>
      </c>
      <c r="E200" s="88" t="s">
        <v>428</v>
      </c>
      <c r="F200" s="90">
        <f>103500000/3.346</f>
        <v>30932456.664674237</v>
      </c>
      <c r="G200" s="91"/>
      <c r="H200" s="92"/>
      <c r="I200" s="101"/>
      <c r="J200" s="22">
        <f t="shared" si="30"/>
        <v>30932456.664674237</v>
      </c>
      <c r="K200" s="22">
        <f t="shared" si="31"/>
        <v>0</v>
      </c>
      <c r="L200" s="23"/>
      <c r="M200" s="23"/>
      <c r="N200" s="23"/>
      <c r="O200" s="23"/>
      <c r="P200" s="23"/>
      <c r="Q200" s="23"/>
      <c r="R200" s="23"/>
      <c r="S200" s="23"/>
      <c r="T200" s="23"/>
      <c r="U200" s="23"/>
      <c r="V200" s="24"/>
      <c r="W200" s="24"/>
      <c r="X200" s="24"/>
      <c r="Y200" s="24"/>
      <c r="Z200" s="24"/>
      <c r="AA200" s="24"/>
      <c r="AB200" s="24"/>
      <c r="AC200" s="24"/>
      <c r="AD200" s="24"/>
      <c r="AE200" s="24"/>
      <c r="AF200" s="24"/>
      <c r="AG200" s="24"/>
      <c r="AH200" s="24"/>
      <c r="AI200" s="24"/>
      <c r="AJ200" s="24"/>
      <c r="AK200" s="24"/>
      <c r="AL200" s="24"/>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c r="CC200" s="25"/>
      <c r="CD200" s="25"/>
      <c r="CE200" s="25"/>
      <c r="CF200" s="25"/>
      <c r="CG200" s="25"/>
      <c r="CH200" s="25"/>
      <c r="CI200" s="25"/>
      <c r="CJ200" s="25"/>
      <c r="CK200" s="25"/>
      <c r="CL200" s="25"/>
      <c r="CM200" s="25"/>
      <c r="CN200" s="25"/>
      <c r="CO200" s="25"/>
      <c r="CP200" s="25"/>
      <c r="CQ200" s="25"/>
      <c r="CR200" s="25"/>
      <c r="CS200" s="25"/>
      <c r="CT200" s="25"/>
      <c r="CU200" s="25"/>
      <c r="CV200" s="25"/>
      <c r="CW200" s="25"/>
      <c r="CX200" s="25"/>
      <c r="CY200" s="25"/>
      <c r="CZ200" s="25"/>
      <c r="DA200" s="25"/>
      <c r="DB200" s="25"/>
      <c r="DC200" s="25"/>
      <c r="DD200" s="25"/>
      <c r="DE200" s="25"/>
      <c r="DF200" s="25"/>
      <c r="DG200" s="25"/>
      <c r="DH200" s="25"/>
      <c r="DI200" s="25"/>
      <c r="DJ200" s="25"/>
    </row>
    <row r="201" spans="1:114" s="26" customFormat="1" ht="15.75" customHeight="1">
      <c r="A201" s="109">
        <f t="shared" si="32"/>
        <v>173</v>
      </c>
      <c r="B201" s="87">
        <f t="shared" si="32"/>
        <v>5</v>
      </c>
      <c r="C201" s="88" t="s">
        <v>393</v>
      </c>
      <c r="D201" s="89" t="s">
        <v>391</v>
      </c>
      <c r="E201" s="88" t="s">
        <v>427</v>
      </c>
      <c r="F201" s="90">
        <v>61777777</v>
      </c>
      <c r="G201" s="91"/>
      <c r="H201" s="92">
        <v>70000000</v>
      </c>
      <c r="I201" s="93" t="s">
        <v>498</v>
      </c>
      <c r="J201" s="22">
        <f t="shared" si="30"/>
        <v>61777777</v>
      </c>
      <c r="K201" s="22">
        <f t="shared" si="31"/>
        <v>70000000</v>
      </c>
      <c r="L201" s="23"/>
      <c r="M201" s="23"/>
      <c r="N201" s="23"/>
      <c r="O201" s="23"/>
      <c r="P201" s="23"/>
      <c r="Q201" s="23"/>
      <c r="R201" s="23"/>
      <c r="S201" s="23"/>
      <c r="T201" s="23"/>
      <c r="U201" s="23"/>
      <c r="V201" s="24"/>
      <c r="W201" s="24"/>
      <c r="X201" s="24"/>
      <c r="Y201" s="24"/>
      <c r="Z201" s="24"/>
      <c r="AA201" s="24"/>
      <c r="AB201" s="24"/>
      <c r="AC201" s="24"/>
      <c r="AD201" s="24"/>
      <c r="AE201" s="24"/>
      <c r="AF201" s="24"/>
      <c r="AG201" s="24"/>
      <c r="AH201" s="24"/>
      <c r="AI201" s="24"/>
      <c r="AJ201" s="24"/>
      <c r="AK201" s="24"/>
      <c r="AL201" s="24"/>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c r="CE201" s="25"/>
      <c r="CF201" s="25"/>
      <c r="CG201" s="25"/>
      <c r="CH201" s="25"/>
      <c r="CI201" s="25"/>
      <c r="CJ201" s="25"/>
      <c r="CK201" s="25"/>
      <c r="CL201" s="25"/>
      <c r="CM201" s="25"/>
      <c r="CN201" s="25"/>
      <c r="CO201" s="25"/>
      <c r="CP201" s="25"/>
      <c r="CQ201" s="25"/>
      <c r="CR201" s="25"/>
      <c r="CS201" s="25"/>
      <c r="CT201" s="25"/>
      <c r="CU201" s="25"/>
      <c r="CV201" s="25"/>
      <c r="CW201" s="25"/>
      <c r="CX201" s="25"/>
      <c r="CY201" s="25"/>
      <c r="CZ201" s="25"/>
      <c r="DA201" s="25"/>
      <c r="DB201" s="25"/>
      <c r="DC201" s="25"/>
      <c r="DD201" s="25"/>
      <c r="DE201" s="25"/>
      <c r="DF201" s="25"/>
      <c r="DG201" s="25"/>
      <c r="DH201" s="25"/>
      <c r="DI201" s="25"/>
      <c r="DJ201" s="25"/>
    </row>
    <row r="202" spans="1:114" s="43" customFormat="1" ht="15.75" customHeight="1">
      <c r="A202" s="109">
        <f t="shared" si="32"/>
        <v>174</v>
      </c>
      <c r="B202" s="87">
        <f t="shared" si="32"/>
        <v>6</v>
      </c>
      <c r="C202" s="110" t="s">
        <v>394</v>
      </c>
      <c r="D202" s="89" t="s">
        <v>395</v>
      </c>
      <c r="E202" s="88" t="s">
        <v>426</v>
      </c>
      <c r="F202" s="90">
        <v>186396.03</v>
      </c>
      <c r="G202" s="91"/>
      <c r="H202" s="92"/>
      <c r="I202" s="93"/>
      <c r="J202" s="22">
        <f t="shared" si="30"/>
        <v>186396.03</v>
      </c>
      <c r="K202" s="22">
        <f t="shared" si="31"/>
        <v>0</v>
      </c>
      <c r="L202" s="23"/>
      <c r="M202" s="23"/>
      <c r="N202" s="23"/>
      <c r="O202" s="23"/>
      <c r="P202" s="23"/>
      <c r="Q202" s="23"/>
      <c r="R202" s="23"/>
      <c r="S202" s="23"/>
      <c r="T202" s="23"/>
      <c r="U202" s="23"/>
      <c r="V202" s="24"/>
      <c r="W202" s="24"/>
      <c r="X202" s="24"/>
      <c r="Y202" s="24"/>
      <c r="Z202" s="24"/>
      <c r="AA202" s="24"/>
      <c r="AB202" s="24"/>
      <c r="AC202" s="24"/>
      <c r="AD202" s="24"/>
      <c r="AE202" s="24"/>
      <c r="AF202" s="24"/>
      <c r="AG202" s="24"/>
      <c r="AH202" s="24"/>
      <c r="AI202" s="24"/>
      <c r="AJ202" s="24"/>
      <c r="AK202" s="24"/>
      <c r="AL202" s="24"/>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c r="CF202" s="25"/>
      <c r="CG202" s="25"/>
      <c r="CH202" s="25"/>
      <c r="CI202" s="25"/>
      <c r="CJ202" s="25"/>
      <c r="CK202" s="25"/>
      <c r="CL202" s="25"/>
      <c r="CM202" s="25"/>
      <c r="CN202" s="25"/>
      <c r="CO202" s="25"/>
      <c r="CP202" s="25"/>
      <c r="CQ202" s="25"/>
      <c r="CR202" s="25"/>
      <c r="CS202" s="25"/>
      <c r="CT202" s="25"/>
      <c r="CU202" s="25"/>
      <c r="CV202" s="25"/>
      <c r="CW202" s="25"/>
      <c r="CX202" s="25"/>
      <c r="CY202" s="25"/>
      <c r="CZ202" s="25"/>
      <c r="DA202" s="25"/>
      <c r="DB202" s="25"/>
      <c r="DC202" s="25"/>
      <c r="DD202" s="25"/>
      <c r="DE202" s="25"/>
      <c r="DF202" s="25"/>
      <c r="DG202" s="25"/>
      <c r="DH202" s="25"/>
      <c r="DI202" s="25"/>
      <c r="DJ202" s="25"/>
    </row>
    <row r="203" spans="1:114" s="48" customFormat="1" ht="15.75" customHeight="1">
      <c r="A203" s="109">
        <f t="shared" si="32"/>
        <v>175</v>
      </c>
      <c r="B203" s="87">
        <f t="shared" si="32"/>
        <v>7</v>
      </c>
      <c r="C203" s="88" t="s">
        <v>396</v>
      </c>
      <c r="D203" s="89" t="s">
        <v>355</v>
      </c>
      <c r="E203" s="88" t="s">
        <v>3</v>
      </c>
      <c r="F203" s="90">
        <v>88164</v>
      </c>
      <c r="G203" s="91"/>
      <c r="H203" s="92">
        <v>192100</v>
      </c>
      <c r="I203" s="101" t="s">
        <v>498</v>
      </c>
      <c r="J203" s="22">
        <f t="shared" si="30"/>
        <v>88164</v>
      </c>
      <c r="K203" s="22">
        <f t="shared" si="31"/>
        <v>192100</v>
      </c>
      <c r="L203" s="23"/>
      <c r="M203" s="23"/>
      <c r="N203" s="23"/>
      <c r="O203" s="23"/>
      <c r="P203" s="23"/>
      <c r="Q203" s="23"/>
      <c r="R203" s="23"/>
      <c r="S203" s="23"/>
      <c r="T203" s="23"/>
      <c r="U203" s="23"/>
      <c r="V203" s="24"/>
      <c r="W203" s="24"/>
      <c r="X203" s="24"/>
      <c r="Y203" s="24"/>
      <c r="Z203" s="24"/>
      <c r="AA203" s="24"/>
      <c r="AB203" s="24"/>
      <c r="AC203" s="24"/>
      <c r="AD203" s="24"/>
      <c r="AE203" s="24"/>
      <c r="AF203" s="24"/>
      <c r="AG203" s="24"/>
      <c r="AH203" s="24"/>
      <c r="AI203" s="24"/>
      <c r="AJ203" s="24"/>
      <c r="AK203" s="24"/>
      <c r="AL203" s="24"/>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c r="CC203" s="25"/>
      <c r="CD203" s="25"/>
      <c r="CE203" s="25"/>
      <c r="CF203" s="25"/>
      <c r="CG203" s="25"/>
      <c r="CH203" s="25"/>
      <c r="CI203" s="25"/>
      <c r="CJ203" s="25"/>
      <c r="CK203" s="25"/>
      <c r="CL203" s="25"/>
      <c r="CM203" s="25"/>
      <c r="CN203" s="25"/>
      <c r="CO203" s="25"/>
      <c r="CP203" s="25"/>
      <c r="CQ203" s="25"/>
      <c r="CR203" s="25"/>
      <c r="CS203" s="25"/>
      <c r="CT203" s="25"/>
      <c r="CU203" s="25"/>
      <c r="CV203" s="25"/>
      <c r="CW203" s="25"/>
      <c r="CX203" s="25"/>
      <c r="CY203" s="25"/>
      <c r="CZ203" s="25"/>
      <c r="DA203" s="25"/>
      <c r="DB203" s="25"/>
      <c r="DC203" s="25"/>
      <c r="DD203" s="25"/>
      <c r="DE203" s="25"/>
      <c r="DF203" s="25"/>
      <c r="DG203" s="25"/>
      <c r="DH203" s="25"/>
      <c r="DI203" s="25"/>
      <c r="DJ203" s="25"/>
    </row>
    <row r="204" spans="1:114" s="122" customFormat="1" ht="15.75" customHeight="1">
      <c r="A204" s="109">
        <f t="shared" si="32"/>
        <v>176</v>
      </c>
      <c r="B204" s="87">
        <f t="shared" si="32"/>
        <v>8</v>
      </c>
      <c r="C204" s="88" t="s">
        <v>398</v>
      </c>
      <c r="D204" s="89" t="s">
        <v>399</v>
      </c>
      <c r="E204" s="88" t="s">
        <v>538</v>
      </c>
      <c r="F204" s="90">
        <v>88351116</v>
      </c>
      <c r="G204" s="91"/>
      <c r="H204" s="92"/>
      <c r="I204" s="93"/>
      <c r="J204" s="22">
        <f t="shared" si="30"/>
        <v>88351116</v>
      </c>
      <c r="K204" s="22">
        <f t="shared" si="31"/>
        <v>0</v>
      </c>
      <c r="L204" s="23"/>
      <c r="M204" s="23"/>
      <c r="N204" s="23"/>
      <c r="O204" s="23"/>
      <c r="P204" s="23"/>
      <c r="Q204" s="23"/>
      <c r="R204" s="23"/>
      <c r="S204" s="23"/>
      <c r="T204" s="23"/>
      <c r="U204" s="23"/>
      <c r="V204" s="24"/>
      <c r="W204" s="24"/>
      <c r="X204" s="24"/>
      <c r="Y204" s="24"/>
      <c r="Z204" s="24"/>
      <c r="AA204" s="24"/>
      <c r="AB204" s="24"/>
      <c r="AC204" s="24"/>
      <c r="AD204" s="24"/>
      <c r="AE204" s="24"/>
      <c r="AF204" s="24"/>
      <c r="AG204" s="24"/>
      <c r="AH204" s="24"/>
      <c r="AI204" s="24"/>
      <c r="AJ204" s="24"/>
      <c r="AK204" s="24"/>
      <c r="AL204" s="24"/>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c r="CC204" s="25"/>
      <c r="CD204" s="25"/>
      <c r="CE204" s="25"/>
      <c r="CF204" s="25"/>
      <c r="CG204" s="25"/>
      <c r="CH204" s="25"/>
      <c r="CI204" s="25"/>
      <c r="CJ204" s="25"/>
      <c r="CK204" s="25"/>
      <c r="CL204" s="25"/>
      <c r="CM204" s="25"/>
      <c r="CN204" s="25"/>
      <c r="CO204" s="25"/>
      <c r="CP204" s="25"/>
      <c r="CQ204" s="25"/>
      <c r="CR204" s="25"/>
      <c r="CS204" s="25"/>
      <c r="CT204" s="25"/>
      <c r="CU204" s="25"/>
      <c r="CV204" s="25"/>
      <c r="CW204" s="25"/>
      <c r="CX204" s="25"/>
      <c r="CY204" s="25"/>
      <c r="CZ204" s="25"/>
      <c r="DA204" s="25"/>
      <c r="DB204" s="25"/>
      <c r="DC204" s="25"/>
      <c r="DD204" s="25"/>
      <c r="DE204" s="25"/>
      <c r="DF204" s="25"/>
      <c r="DG204" s="25"/>
      <c r="DH204" s="25"/>
      <c r="DI204" s="25"/>
      <c r="DJ204" s="25"/>
    </row>
    <row r="205" spans="1:114" s="54" customFormat="1" ht="15.75" customHeight="1">
      <c r="A205" s="109">
        <f t="shared" si="32"/>
        <v>177</v>
      </c>
      <c r="B205" s="87">
        <f t="shared" si="32"/>
        <v>9</v>
      </c>
      <c r="C205" s="88" t="s">
        <v>402</v>
      </c>
      <c r="D205" s="89" t="s">
        <v>403</v>
      </c>
      <c r="E205" s="88" t="s">
        <v>3</v>
      </c>
      <c r="F205" s="90">
        <f>5311628.84-3143000</f>
        <v>2168628.84</v>
      </c>
      <c r="G205" s="91"/>
      <c r="H205" s="92">
        <v>3143000</v>
      </c>
      <c r="I205" s="93" t="s">
        <v>498</v>
      </c>
      <c r="J205" s="22">
        <f t="shared" si="30"/>
        <v>2168628.84</v>
      </c>
      <c r="K205" s="22">
        <f t="shared" si="31"/>
        <v>3143000</v>
      </c>
      <c r="L205" s="23"/>
      <c r="M205" s="23"/>
      <c r="N205" s="23"/>
      <c r="O205" s="23"/>
      <c r="P205" s="23"/>
      <c r="Q205" s="23"/>
      <c r="R205" s="23"/>
      <c r="S205" s="23"/>
      <c r="T205" s="23"/>
      <c r="U205" s="23"/>
      <c r="V205" s="24"/>
      <c r="W205" s="24"/>
      <c r="X205" s="24"/>
      <c r="Y205" s="24"/>
      <c r="Z205" s="24"/>
      <c r="AA205" s="24"/>
      <c r="AB205" s="24"/>
      <c r="AC205" s="24"/>
      <c r="AD205" s="24"/>
      <c r="AE205" s="24"/>
      <c r="AF205" s="24"/>
      <c r="AG205" s="24"/>
      <c r="AH205" s="24"/>
      <c r="AI205" s="24"/>
      <c r="AJ205" s="24"/>
      <c r="AK205" s="24"/>
      <c r="AL205" s="24"/>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c r="CC205" s="25"/>
      <c r="CD205" s="25"/>
      <c r="CE205" s="25"/>
      <c r="CF205" s="25"/>
      <c r="CG205" s="25"/>
      <c r="CH205" s="25"/>
      <c r="CI205" s="25"/>
      <c r="CJ205" s="25"/>
      <c r="CK205" s="25"/>
      <c r="CL205" s="25"/>
      <c r="CM205" s="25"/>
      <c r="CN205" s="25"/>
      <c r="CO205" s="25"/>
      <c r="CP205" s="25"/>
      <c r="CQ205" s="25"/>
      <c r="CR205" s="25"/>
      <c r="CS205" s="25"/>
      <c r="CT205" s="25"/>
      <c r="CU205" s="25"/>
      <c r="CV205" s="25"/>
      <c r="CW205" s="25"/>
      <c r="CX205" s="25"/>
      <c r="CY205" s="25"/>
      <c r="CZ205" s="25"/>
      <c r="DA205" s="25"/>
      <c r="DB205" s="25"/>
      <c r="DC205" s="25"/>
      <c r="DD205" s="25"/>
      <c r="DE205" s="25"/>
      <c r="DF205" s="25"/>
      <c r="DG205" s="25"/>
      <c r="DH205" s="25"/>
      <c r="DI205" s="25"/>
      <c r="DJ205" s="25"/>
    </row>
    <row r="206" spans="1:38" s="25" customFormat="1" ht="15.75" customHeight="1">
      <c r="A206" s="109">
        <f t="shared" si="32"/>
        <v>178</v>
      </c>
      <c r="B206" s="87">
        <f t="shared" si="32"/>
        <v>10</v>
      </c>
      <c r="C206" s="88" t="s">
        <v>400</v>
      </c>
      <c r="D206" s="89" t="s">
        <v>401</v>
      </c>
      <c r="E206" s="88" t="s">
        <v>3</v>
      </c>
      <c r="F206" s="90">
        <v>711704</v>
      </c>
      <c r="G206" s="91"/>
      <c r="H206" s="92">
        <v>1092450</v>
      </c>
      <c r="I206" s="93" t="s">
        <v>498</v>
      </c>
      <c r="J206" s="22">
        <f t="shared" si="30"/>
        <v>711704</v>
      </c>
      <c r="K206" s="22">
        <f t="shared" si="31"/>
        <v>1092450</v>
      </c>
      <c r="L206" s="23"/>
      <c r="M206" s="23"/>
      <c r="N206" s="23"/>
      <c r="O206" s="23"/>
      <c r="P206" s="23"/>
      <c r="Q206" s="23"/>
      <c r="R206" s="23"/>
      <c r="S206" s="23"/>
      <c r="T206" s="23"/>
      <c r="U206" s="23"/>
      <c r="V206" s="24"/>
      <c r="W206" s="24"/>
      <c r="X206" s="24"/>
      <c r="Y206" s="24"/>
      <c r="Z206" s="24"/>
      <c r="AA206" s="24"/>
      <c r="AB206" s="24"/>
      <c r="AC206" s="24"/>
      <c r="AD206" s="24"/>
      <c r="AE206" s="24"/>
      <c r="AF206" s="24"/>
      <c r="AG206" s="24"/>
      <c r="AH206" s="24"/>
      <c r="AI206" s="24"/>
      <c r="AJ206" s="24"/>
      <c r="AK206" s="24"/>
      <c r="AL206" s="24"/>
    </row>
    <row r="207" spans="1:38" s="25" customFormat="1" ht="15.75" customHeight="1">
      <c r="A207" s="109">
        <f t="shared" si="32"/>
        <v>179</v>
      </c>
      <c r="B207" s="87">
        <f t="shared" si="32"/>
        <v>11</v>
      </c>
      <c r="C207" s="88" t="s">
        <v>132</v>
      </c>
      <c r="D207" s="89" t="s">
        <v>133</v>
      </c>
      <c r="E207" s="88" t="s">
        <v>427</v>
      </c>
      <c r="F207" s="90">
        <v>207270.41</v>
      </c>
      <c r="G207" s="91"/>
      <c r="H207" s="92"/>
      <c r="I207" s="93"/>
      <c r="J207" s="22">
        <f t="shared" si="30"/>
        <v>207270.41</v>
      </c>
      <c r="K207" s="22">
        <f t="shared" si="31"/>
        <v>0</v>
      </c>
      <c r="L207" s="23"/>
      <c r="M207" s="23"/>
      <c r="N207" s="23"/>
      <c r="O207" s="23"/>
      <c r="P207" s="23"/>
      <c r="Q207" s="23"/>
      <c r="R207" s="23"/>
      <c r="S207" s="23"/>
      <c r="T207" s="23"/>
      <c r="U207" s="23"/>
      <c r="V207" s="24"/>
      <c r="W207" s="24"/>
      <c r="X207" s="24"/>
      <c r="Y207" s="24"/>
      <c r="Z207" s="24"/>
      <c r="AA207" s="24"/>
      <c r="AB207" s="24"/>
      <c r="AC207" s="24"/>
      <c r="AD207" s="24"/>
      <c r="AE207" s="24"/>
      <c r="AF207" s="24"/>
      <c r="AG207" s="24"/>
      <c r="AH207" s="24"/>
      <c r="AI207" s="24"/>
      <c r="AJ207" s="24"/>
      <c r="AK207" s="24"/>
      <c r="AL207" s="24"/>
    </row>
    <row r="208" spans="1:38" s="25" customFormat="1" ht="15.75" customHeight="1">
      <c r="A208" s="109">
        <f t="shared" si="32"/>
        <v>180</v>
      </c>
      <c r="B208" s="87">
        <f t="shared" si="32"/>
        <v>12</v>
      </c>
      <c r="C208" s="88" t="s">
        <v>360</v>
      </c>
      <c r="D208" s="89" t="s">
        <v>361</v>
      </c>
      <c r="E208" s="88" t="s">
        <v>428</v>
      </c>
      <c r="F208" s="90">
        <v>60000052</v>
      </c>
      <c r="G208" s="91"/>
      <c r="H208" s="92"/>
      <c r="I208" s="93"/>
      <c r="J208" s="22">
        <f t="shared" si="30"/>
        <v>60000052</v>
      </c>
      <c r="K208" s="22">
        <f t="shared" si="31"/>
        <v>0</v>
      </c>
      <c r="L208" s="23"/>
      <c r="M208" s="23"/>
      <c r="N208" s="23"/>
      <c r="O208" s="23"/>
      <c r="P208" s="23"/>
      <c r="Q208" s="23"/>
      <c r="R208" s="23"/>
      <c r="S208" s="23"/>
      <c r="T208" s="23"/>
      <c r="U208" s="23"/>
      <c r="V208" s="24"/>
      <c r="W208" s="24"/>
      <c r="X208" s="24"/>
      <c r="Y208" s="24"/>
      <c r="Z208" s="24"/>
      <c r="AA208" s="24"/>
      <c r="AB208" s="24"/>
      <c r="AC208" s="24"/>
      <c r="AD208" s="24"/>
      <c r="AE208" s="24"/>
      <c r="AF208" s="24"/>
      <c r="AG208" s="24"/>
      <c r="AH208" s="24"/>
      <c r="AI208" s="24"/>
      <c r="AJ208" s="24"/>
      <c r="AK208" s="24"/>
      <c r="AL208" s="24"/>
    </row>
    <row r="209" spans="1:114" s="122" customFormat="1" ht="15.75" customHeight="1">
      <c r="A209" s="109">
        <f t="shared" si="32"/>
        <v>181</v>
      </c>
      <c r="B209" s="87">
        <f t="shared" si="32"/>
        <v>13</v>
      </c>
      <c r="C209" s="88" t="s">
        <v>318</v>
      </c>
      <c r="D209" s="89" t="s">
        <v>362</v>
      </c>
      <c r="E209" s="88" t="s">
        <v>3</v>
      </c>
      <c r="F209" s="90">
        <v>2307001</v>
      </c>
      <c r="G209" s="91"/>
      <c r="H209" s="92">
        <v>8000000</v>
      </c>
      <c r="I209" s="93" t="s">
        <v>139</v>
      </c>
      <c r="J209" s="22">
        <f t="shared" si="30"/>
        <v>2307001</v>
      </c>
      <c r="K209" s="22">
        <f t="shared" si="31"/>
        <v>8000000</v>
      </c>
      <c r="L209" s="23"/>
      <c r="M209" s="23"/>
      <c r="N209" s="23"/>
      <c r="O209" s="23"/>
      <c r="P209" s="23"/>
      <c r="Q209" s="23"/>
      <c r="R209" s="23"/>
      <c r="S209" s="23"/>
      <c r="T209" s="23"/>
      <c r="U209" s="23"/>
      <c r="V209" s="24"/>
      <c r="W209" s="24"/>
      <c r="X209" s="24"/>
      <c r="Y209" s="24"/>
      <c r="Z209" s="24"/>
      <c r="AA209" s="24"/>
      <c r="AB209" s="24"/>
      <c r="AC209" s="24"/>
      <c r="AD209" s="24"/>
      <c r="AE209" s="24"/>
      <c r="AF209" s="24"/>
      <c r="AG209" s="24"/>
      <c r="AH209" s="24"/>
      <c r="AI209" s="24"/>
      <c r="AJ209" s="24"/>
      <c r="AK209" s="24"/>
      <c r="AL209" s="24"/>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c r="CB209" s="25"/>
      <c r="CC209" s="25"/>
      <c r="CD209" s="25"/>
      <c r="CE209" s="25"/>
      <c r="CF209" s="25"/>
      <c r="CG209" s="25"/>
      <c r="CH209" s="25"/>
      <c r="CI209" s="25"/>
      <c r="CJ209" s="25"/>
      <c r="CK209" s="25"/>
      <c r="CL209" s="25"/>
      <c r="CM209" s="25"/>
      <c r="CN209" s="25"/>
      <c r="CO209" s="25"/>
      <c r="CP209" s="25"/>
      <c r="CQ209" s="25"/>
      <c r="CR209" s="25"/>
      <c r="CS209" s="25"/>
      <c r="CT209" s="25"/>
      <c r="CU209" s="25"/>
      <c r="CV209" s="25"/>
      <c r="CW209" s="25"/>
      <c r="CX209" s="25"/>
      <c r="CY209" s="25"/>
      <c r="CZ209" s="25"/>
      <c r="DA209" s="25"/>
      <c r="DB209" s="25"/>
      <c r="DC209" s="25"/>
      <c r="DD209" s="25"/>
      <c r="DE209" s="25"/>
      <c r="DF209" s="25"/>
      <c r="DG209" s="25"/>
      <c r="DH209" s="25"/>
      <c r="DI209" s="25"/>
      <c r="DJ209" s="25"/>
    </row>
    <row r="210" spans="1:38" s="25" customFormat="1" ht="15.75" customHeight="1">
      <c r="A210" s="109">
        <f t="shared" si="32"/>
        <v>182</v>
      </c>
      <c r="B210" s="87">
        <f t="shared" si="32"/>
        <v>14</v>
      </c>
      <c r="C210" s="88" t="s">
        <v>346</v>
      </c>
      <c r="D210" s="89" t="s">
        <v>670</v>
      </c>
      <c r="E210" s="88" t="s">
        <v>428</v>
      </c>
      <c r="F210" s="90">
        <f>84000000/3.45</f>
        <v>24347826.08695652</v>
      </c>
      <c r="G210" s="91"/>
      <c r="H210" s="92"/>
      <c r="I210" s="93"/>
      <c r="J210" s="22">
        <f t="shared" si="30"/>
        <v>24347826.08695652</v>
      </c>
      <c r="K210" s="22">
        <f t="shared" si="31"/>
        <v>0</v>
      </c>
      <c r="L210" s="23"/>
      <c r="M210" s="23"/>
      <c r="N210" s="23"/>
      <c r="O210" s="23"/>
      <c r="P210" s="23"/>
      <c r="Q210" s="23"/>
      <c r="R210" s="23"/>
      <c r="S210" s="23"/>
      <c r="T210" s="23"/>
      <c r="U210" s="23"/>
      <c r="V210" s="24"/>
      <c r="W210" s="24"/>
      <c r="X210" s="24"/>
      <c r="Y210" s="24"/>
      <c r="Z210" s="24"/>
      <c r="AA210" s="24"/>
      <c r="AB210" s="24"/>
      <c r="AC210" s="24"/>
      <c r="AD210" s="24"/>
      <c r="AE210" s="24"/>
      <c r="AF210" s="24"/>
      <c r="AG210" s="24"/>
      <c r="AH210" s="24"/>
      <c r="AI210" s="24"/>
      <c r="AJ210" s="24"/>
      <c r="AK210" s="24"/>
      <c r="AL210" s="24"/>
    </row>
    <row r="211" spans="1:114" s="123" customFormat="1" ht="15.75" customHeight="1">
      <c r="A211" s="109">
        <f t="shared" si="32"/>
        <v>183</v>
      </c>
      <c r="B211" s="87">
        <f t="shared" si="32"/>
        <v>15</v>
      </c>
      <c r="C211" s="88" t="s">
        <v>350</v>
      </c>
      <c r="D211" s="89" t="s">
        <v>363</v>
      </c>
      <c r="E211" s="88" t="s">
        <v>3</v>
      </c>
      <c r="F211" s="90">
        <f>44639+15340</f>
        <v>59979</v>
      </c>
      <c r="G211" s="91"/>
      <c r="H211" s="92">
        <f>89100+29160</f>
        <v>118260</v>
      </c>
      <c r="I211" s="93" t="s">
        <v>498</v>
      </c>
      <c r="J211" s="22">
        <f t="shared" si="30"/>
        <v>59979</v>
      </c>
      <c r="K211" s="22">
        <f t="shared" si="31"/>
        <v>118260</v>
      </c>
      <c r="L211" s="23"/>
      <c r="M211" s="23"/>
      <c r="N211" s="23"/>
      <c r="O211" s="23"/>
      <c r="P211" s="23"/>
      <c r="Q211" s="23"/>
      <c r="R211" s="23"/>
      <c r="S211" s="23"/>
      <c r="T211" s="23"/>
      <c r="U211" s="23"/>
      <c r="V211" s="24"/>
      <c r="W211" s="24"/>
      <c r="X211" s="24"/>
      <c r="Y211" s="24"/>
      <c r="Z211" s="24"/>
      <c r="AA211" s="24"/>
      <c r="AB211" s="24"/>
      <c r="AC211" s="24"/>
      <c r="AD211" s="24"/>
      <c r="AE211" s="24"/>
      <c r="AF211" s="24"/>
      <c r="AG211" s="24"/>
      <c r="AH211" s="24"/>
      <c r="AI211" s="24"/>
      <c r="AJ211" s="24"/>
      <c r="AK211" s="24"/>
      <c r="AL211" s="24"/>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c r="CW211" s="25"/>
      <c r="CX211" s="25"/>
      <c r="CY211" s="25"/>
      <c r="CZ211" s="25"/>
      <c r="DA211" s="25"/>
      <c r="DB211" s="25"/>
      <c r="DC211" s="25"/>
      <c r="DD211" s="25"/>
      <c r="DE211" s="25"/>
      <c r="DF211" s="25"/>
      <c r="DG211" s="25"/>
      <c r="DH211" s="25"/>
      <c r="DI211" s="25"/>
      <c r="DJ211" s="25"/>
    </row>
    <row r="212" spans="1:114" s="124" customFormat="1" ht="15.75" customHeight="1">
      <c r="A212" s="112">
        <f t="shared" si="32"/>
        <v>184</v>
      </c>
      <c r="B212" s="113">
        <f t="shared" si="32"/>
        <v>16</v>
      </c>
      <c r="C212" s="114" t="s">
        <v>319</v>
      </c>
      <c r="D212" s="115" t="s">
        <v>320</v>
      </c>
      <c r="E212" s="114" t="s">
        <v>345</v>
      </c>
      <c r="F212" s="116">
        <v>2150000</v>
      </c>
      <c r="G212" s="117"/>
      <c r="H212" s="118">
        <v>350000</v>
      </c>
      <c r="I212" s="120" t="s">
        <v>498</v>
      </c>
      <c r="J212" s="22">
        <f t="shared" si="30"/>
        <v>2150000</v>
      </c>
      <c r="K212" s="22">
        <f t="shared" si="31"/>
        <v>350000</v>
      </c>
      <c r="L212" s="23"/>
      <c r="M212" s="23"/>
      <c r="N212" s="23"/>
      <c r="O212" s="23"/>
      <c r="P212" s="23"/>
      <c r="Q212" s="23"/>
      <c r="R212" s="23"/>
      <c r="S212" s="23"/>
      <c r="T212" s="23"/>
      <c r="U212" s="23"/>
      <c r="V212" s="24"/>
      <c r="W212" s="24"/>
      <c r="X212" s="24"/>
      <c r="Y212" s="24"/>
      <c r="Z212" s="24"/>
      <c r="AA212" s="24"/>
      <c r="AB212" s="24"/>
      <c r="AC212" s="24"/>
      <c r="AD212" s="24"/>
      <c r="AE212" s="24"/>
      <c r="AF212" s="24"/>
      <c r="AG212" s="24"/>
      <c r="AH212" s="24"/>
      <c r="AI212" s="24"/>
      <c r="AJ212" s="24"/>
      <c r="AK212" s="24"/>
      <c r="AL212" s="24"/>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c r="CA212" s="25"/>
      <c r="CB212" s="25"/>
      <c r="CC212" s="25"/>
      <c r="CD212" s="25"/>
      <c r="CE212" s="25"/>
      <c r="CF212" s="25"/>
      <c r="CG212" s="25"/>
      <c r="CH212" s="25"/>
      <c r="CI212" s="25"/>
      <c r="CJ212" s="25"/>
      <c r="CK212" s="25"/>
      <c r="CL212" s="25"/>
      <c r="CM212" s="25"/>
      <c r="CN212" s="25"/>
      <c r="CO212" s="25"/>
      <c r="CP212" s="25"/>
      <c r="CQ212" s="25"/>
      <c r="CR212" s="25"/>
      <c r="CS212" s="25"/>
      <c r="CT212" s="25"/>
      <c r="CU212" s="25"/>
      <c r="CV212" s="25"/>
      <c r="CW212" s="25"/>
      <c r="CX212" s="25"/>
      <c r="CY212" s="25"/>
      <c r="CZ212" s="25"/>
      <c r="DA212" s="25"/>
      <c r="DB212" s="25"/>
      <c r="DC212" s="25"/>
      <c r="DD212" s="25"/>
      <c r="DE212" s="25"/>
      <c r="DF212" s="25"/>
      <c r="DG212" s="25"/>
      <c r="DH212" s="25"/>
      <c r="DI212" s="25"/>
      <c r="DJ212" s="25"/>
    </row>
    <row r="213" spans="1:114" s="26" customFormat="1" ht="15.75" customHeight="1">
      <c r="A213" s="167" t="s">
        <v>150</v>
      </c>
      <c r="B213" s="168"/>
      <c r="C213" s="168"/>
      <c r="D213" s="168"/>
      <c r="E213" s="18"/>
      <c r="F213" s="19">
        <f>SUM(F197:F212)</f>
        <v>283586874.63424045</v>
      </c>
      <c r="G213" s="19"/>
      <c r="H213" s="20">
        <f>SUM(H197:H212)</f>
        <v>83171600</v>
      </c>
      <c r="I213" s="21"/>
      <c r="J213" s="22"/>
      <c r="K213" s="33"/>
      <c r="L213" s="23"/>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c r="CA213" s="25"/>
      <c r="CB213" s="25"/>
      <c r="CC213" s="25"/>
      <c r="CD213" s="25"/>
      <c r="CE213" s="25"/>
      <c r="CF213" s="25"/>
      <c r="CG213" s="25"/>
      <c r="CH213" s="25"/>
      <c r="CI213" s="25"/>
      <c r="CJ213" s="25"/>
      <c r="CK213" s="25"/>
      <c r="CL213" s="25"/>
      <c r="CM213" s="25"/>
      <c r="CN213" s="25"/>
      <c r="CO213" s="25"/>
      <c r="CP213" s="25"/>
      <c r="CQ213" s="25"/>
      <c r="CR213" s="25"/>
      <c r="CS213" s="25"/>
      <c r="CT213" s="25"/>
      <c r="CU213" s="25"/>
      <c r="CV213" s="25"/>
      <c r="CW213" s="25"/>
      <c r="CX213" s="25"/>
      <c r="CY213" s="25"/>
      <c r="CZ213" s="25"/>
      <c r="DA213" s="25"/>
      <c r="DB213" s="25"/>
      <c r="DC213" s="25"/>
      <c r="DD213" s="25"/>
      <c r="DE213" s="25"/>
      <c r="DF213" s="25"/>
      <c r="DG213" s="25"/>
      <c r="DH213" s="25"/>
      <c r="DI213" s="25"/>
      <c r="DJ213" s="25"/>
    </row>
    <row r="214" spans="1:114" s="34" customFormat="1" ht="15.75" customHeight="1">
      <c r="A214" s="170">
        <v>2000</v>
      </c>
      <c r="B214" s="171"/>
      <c r="C214" s="171"/>
      <c r="D214" s="171"/>
      <c r="E214" s="171"/>
      <c r="F214" s="171"/>
      <c r="G214" s="171"/>
      <c r="H214" s="171"/>
      <c r="I214" s="172"/>
      <c r="J214" s="22">
        <f aca="true" t="shared" si="33" ref="J214:J221">+F214</f>
        <v>0</v>
      </c>
      <c r="K214" s="22">
        <f aca="true" t="shared" si="34" ref="K214:K221">+H214</f>
        <v>0</v>
      </c>
      <c r="L214" s="23"/>
      <c r="M214" s="23"/>
      <c r="N214" s="23"/>
      <c r="O214" s="23"/>
      <c r="P214" s="23"/>
      <c r="Q214" s="23"/>
      <c r="R214" s="23"/>
      <c r="S214" s="23"/>
      <c r="T214" s="23"/>
      <c r="U214" s="23"/>
      <c r="V214" s="24"/>
      <c r="W214" s="24"/>
      <c r="X214" s="24"/>
      <c r="Y214" s="24"/>
      <c r="Z214" s="24"/>
      <c r="AA214" s="24"/>
      <c r="AB214" s="24"/>
      <c r="AC214" s="24"/>
      <c r="AD214" s="24"/>
      <c r="AE214" s="24"/>
      <c r="AF214" s="24"/>
      <c r="AG214" s="24"/>
      <c r="AH214" s="24"/>
      <c r="AI214" s="24"/>
      <c r="AJ214" s="24"/>
      <c r="AK214" s="24"/>
      <c r="AL214" s="24"/>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c r="CA214" s="25"/>
      <c r="CB214" s="25"/>
      <c r="CC214" s="25"/>
      <c r="CD214" s="25"/>
      <c r="CE214" s="25"/>
      <c r="CF214" s="25"/>
      <c r="CG214" s="25"/>
      <c r="CH214" s="25"/>
      <c r="CI214" s="25"/>
      <c r="CJ214" s="25"/>
      <c r="CK214" s="25"/>
      <c r="CL214" s="25"/>
      <c r="CM214" s="25"/>
      <c r="CN214" s="25"/>
      <c r="CO214" s="25"/>
      <c r="CP214" s="25"/>
      <c r="CQ214" s="25"/>
      <c r="CR214" s="25"/>
      <c r="CS214" s="25"/>
      <c r="CT214" s="25"/>
      <c r="CU214" s="25"/>
      <c r="CV214" s="25"/>
      <c r="CW214" s="25"/>
      <c r="CX214" s="25"/>
      <c r="CY214" s="25"/>
      <c r="CZ214" s="25"/>
      <c r="DA214" s="25"/>
      <c r="DB214" s="25"/>
      <c r="DC214" s="25"/>
      <c r="DD214" s="25"/>
      <c r="DE214" s="25"/>
      <c r="DF214" s="25"/>
      <c r="DG214" s="25"/>
      <c r="DH214" s="25"/>
      <c r="DI214" s="25"/>
      <c r="DJ214" s="25"/>
    </row>
    <row r="215" spans="1:38" s="25" customFormat="1" ht="15.75" customHeight="1">
      <c r="A215" s="61">
        <f>+A212+1</f>
        <v>185</v>
      </c>
      <c r="B215" s="62">
        <f>+B213+1</f>
        <v>1</v>
      </c>
      <c r="C215" s="63" t="s">
        <v>134</v>
      </c>
      <c r="D215" s="64" t="s">
        <v>135</v>
      </c>
      <c r="E215" s="63" t="s">
        <v>427</v>
      </c>
      <c r="F215" s="84">
        <f>60000*5</f>
        <v>300000</v>
      </c>
      <c r="G215" s="85"/>
      <c r="H215" s="65">
        <v>10729334</v>
      </c>
      <c r="I215" s="67" t="s">
        <v>498</v>
      </c>
      <c r="J215" s="22">
        <f t="shared" si="33"/>
        <v>300000</v>
      </c>
      <c r="K215" s="22">
        <f t="shared" si="34"/>
        <v>10729334</v>
      </c>
      <c r="L215" s="23"/>
      <c r="M215" s="23"/>
      <c r="N215" s="23"/>
      <c r="O215" s="23"/>
      <c r="P215" s="23"/>
      <c r="Q215" s="23"/>
      <c r="R215" s="23"/>
      <c r="S215" s="23"/>
      <c r="T215" s="23"/>
      <c r="U215" s="23"/>
      <c r="V215" s="24"/>
      <c r="W215" s="24"/>
      <c r="X215" s="24"/>
      <c r="Y215" s="24"/>
      <c r="Z215" s="24"/>
      <c r="AA215" s="24"/>
      <c r="AB215" s="24"/>
      <c r="AC215" s="24"/>
      <c r="AD215" s="24"/>
      <c r="AE215" s="24"/>
      <c r="AF215" s="24"/>
      <c r="AG215" s="24"/>
      <c r="AH215" s="24"/>
      <c r="AI215" s="24"/>
      <c r="AJ215" s="24"/>
      <c r="AK215" s="24"/>
      <c r="AL215" s="24"/>
    </row>
    <row r="216" spans="1:38" s="25" customFormat="1" ht="15.75" customHeight="1">
      <c r="A216" s="109">
        <f>+A215+1</f>
        <v>186</v>
      </c>
      <c r="B216" s="87">
        <f>+B215+1</f>
        <v>2</v>
      </c>
      <c r="C216" s="88" t="s">
        <v>304</v>
      </c>
      <c r="D216" s="89" t="s">
        <v>671</v>
      </c>
      <c r="E216" s="88" t="s">
        <v>428</v>
      </c>
      <c r="F216" s="90">
        <f>291876394.5/3.481</f>
        <v>83848432.77793738</v>
      </c>
      <c r="G216" s="91"/>
      <c r="H216" s="92"/>
      <c r="I216" s="93"/>
      <c r="J216" s="22">
        <f t="shared" si="33"/>
        <v>83848432.77793738</v>
      </c>
      <c r="K216" s="22">
        <f t="shared" si="34"/>
        <v>0</v>
      </c>
      <c r="L216" s="23"/>
      <c r="M216" s="23"/>
      <c r="N216" s="23"/>
      <c r="O216" s="23"/>
      <c r="P216" s="23"/>
      <c r="Q216" s="23"/>
      <c r="R216" s="23"/>
      <c r="S216" s="23"/>
      <c r="T216" s="23"/>
      <c r="U216" s="23"/>
      <c r="V216" s="24"/>
      <c r="W216" s="24"/>
      <c r="X216" s="24"/>
      <c r="Y216" s="24"/>
      <c r="Z216" s="24"/>
      <c r="AA216" s="24"/>
      <c r="AB216" s="24"/>
      <c r="AC216" s="24"/>
      <c r="AD216" s="24"/>
      <c r="AE216" s="24"/>
      <c r="AF216" s="24"/>
      <c r="AG216" s="24"/>
      <c r="AH216" s="24"/>
      <c r="AI216" s="24"/>
      <c r="AJ216" s="24"/>
      <c r="AK216" s="24"/>
      <c r="AL216" s="24"/>
    </row>
    <row r="217" spans="1:114" s="51" customFormat="1" ht="15.75" customHeight="1">
      <c r="A217" s="109">
        <f>A216+1</f>
        <v>187</v>
      </c>
      <c r="B217" s="87">
        <f>+B216+1</f>
        <v>3</v>
      </c>
      <c r="C217" s="88" t="s">
        <v>307</v>
      </c>
      <c r="D217" s="89" t="s">
        <v>672</v>
      </c>
      <c r="E217" s="88" t="s">
        <v>424</v>
      </c>
      <c r="F217" s="90"/>
      <c r="G217" s="91"/>
      <c r="H217" s="92">
        <v>1600000000</v>
      </c>
      <c r="I217" s="93"/>
      <c r="J217" s="22">
        <f>+F217</f>
        <v>0</v>
      </c>
      <c r="K217" s="22">
        <f>+H217</f>
        <v>1600000000</v>
      </c>
      <c r="L217" s="23"/>
      <c r="M217" s="23"/>
      <c r="N217" s="23"/>
      <c r="O217" s="23"/>
      <c r="P217" s="23"/>
      <c r="Q217" s="23"/>
      <c r="R217" s="23"/>
      <c r="S217" s="23"/>
      <c r="T217" s="23"/>
      <c r="U217" s="23"/>
      <c r="V217" s="24"/>
      <c r="W217" s="24"/>
      <c r="X217" s="24"/>
      <c r="Y217" s="24"/>
      <c r="Z217" s="24"/>
      <c r="AA217" s="24"/>
      <c r="AB217" s="24"/>
      <c r="AC217" s="24"/>
      <c r="AD217" s="24"/>
      <c r="AE217" s="24"/>
      <c r="AF217" s="24"/>
      <c r="AG217" s="24"/>
      <c r="AH217" s="24"/>
      <c r="AI217" s="24"/>
      <c r="AJ217" s="24"/>
      <c r="AK217" s="24"/>
      <c r="AL217" s="24"/>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c r="CA217" s="25"/>
      <c r="CB217" s="25"/>
      <c r="CC217" s="25"/>
      <c r="CD217" s="25"/>
      <c r="CE217" s="25"/>
      <c r="CF217" s="25"/>
      <c r="CG217" s="25"/>
      <c r="CH217" s="25"/>
      <c r="CI217" s="25"/>
      <c r="CJ217" s="25"/>
      <c r="CK217" s="25"/>
      <c r="CL217" s="25"/>
      <c r="CM217" s="25"/>
      <c r="CN217" s="25"/>
      <c r="CO217" s="25"/>
      <c r="CP217" s="25"/>
      <c r="CQ217" s="25"/>
      <c r="CR217" s="25"/>
      <c r="CS217" s="25"/>
      <c r="CT217" s="25"/>
      <c r="CU217" s="25"/>
      <c r="CV217" s="25"/>
      <c r="CW217" s="25"/>
      <c r="CX217" s="25"/>
      <c r="CY217" s="25"/>
      <c r="CZ217" s="25"/>
      <c r="DA217" s="25"/>
      <c r="DB217" s="25"/>
      <c r="DC217" s="25"/>
      <c r="DD217" s="25"/>
      <c r="DE217" s="25"/>
      <c r="DF217" s="25"/>
      <c r="DG217" s="25"/>
      <c r="DH217" s="25"/>
      <c r="DI217" s="25"/>
      <c r="DJ217" s="25"/>
    </row>
    <row r="218" spans="1:114" s="52" customFormat="1" ht="15.75" customHeight="1">
      <c r="A218" s="109">
        <f>A217+1</f>
        <v>188</v>
      </c>
      <c r="B218" s="87">
        <f>+B217+1</f>
        <v>4</v>
      </c>
      <c r="C218" s="88" t="s">
        <v>305</v>
      </c>
      <c r="D218" s="89" t="s">
        <v>306</v>
      </c>
      <c r="E218" s="88" t="s">
        <v>428</v>
      </c>
      <c r="F218" s="90">
        <v>9000009</v>
      </c>
      <c r="G218" s="91"/>
      <c r="H218" s="92"/>
      <c r="I218" s="93"/>
      <c r="J218" s="22">
        <f t="shared" si="33"/>
        <v>9000009</v>
      </c>
      <c r="K218" s="22">
        <f t="shared" si="34"/>
        <v>0</v>
      </c>
      <c r="L218" s="23"/>
      <c r="M218" s="23"/>
      <c r="N218" s="23"/>
      <c r="O218" s="23"/>
      <c r="P218" s="23"/>
      <c r="Q218" s="23"/>
      <c r="R218" s="23"/>
      <c r="S218" s="23"/>
      <c r="T218" s="23"/>
      <c r="U218" s="23"/>
      <c r="V218" s="24"/>
      <c r="W218" s="24"/>
      <c r="X218" s="24"/>
      <c r="Y218" s="24"/>
      <c r="Z218" s="24"/>
      <c r="AA218" s="24"/>
      <c r="AB218" s="24"/>
      <c r="AC218" s="24"/>
      <c r="AD218" s="24"/>
      <c r="AE218" s="24"/>
      <c r="AF218" s="24"/>
      <c r="AG218" s="24"/>
      <c r="AH218" s="24"/>
      <c r="AI218" s="24"/>
      <c r="AJ218" s="24"/>
      <c r="AK218" s="24"/>
      <c r="AL218" s="24"/>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c r="CA218" s="25"/>
      <c r="CB218" s="25"/>
      <c r="CC218" s="25"/>
      <c r="CD218" s="25"/>
      <c r="CE218" s="25"/>
      <c r="CF218" s="25"/>
      <c r="CG218" s="25"/>
      <c r="CH218" s="25"/>
      <c r="CI218" s="25"/>
      <c r="CJ218" s="25"/>
      <c r="CK218" s="25"/>
      <c r="CL218" s="25"/>
      <c r="CM218" s="25"/>
      <c r="CN218" s="25"/>
      <c r="CO218" s="25"/>
      <c r="CP218" s="25"/>
      <c r="CQ218" s="25"/>
      <c r="CR218" s="25"/>
      <c r="CS218" s="25"/>
      <c r="CT218" s="25"/>
      <c r="CU218" s="25"/>
      <c r="CV218" s="25"/>
      <c r="CW218" s="25"/>
      <c r="CX218" s="25"/>
      <c r="CY218" s="25"/>
      <c r="CZ218" s="25"/>
      <c r="DA218" s="25"/>
      <c r="DB218" s="25"/>
      <c r="DC218" s="25"/>
      <c r="DD218" s="25"/>
      <c r="DE218" s="25"/>
      <c r="DF218" s="25"/>
      <c r="DG218" s="25"/>
      <c r="DH218" s="25"/>
      <c r="DI218" s="25"/>
      <c r="DJ218" s="25"/>
    </row>
    <row r="219" spans="1:114" s="53" customFormat="1" ht="15.75" customHeight="1">
      <c r="A219" s="109">
        <f>A218+1</f>
        <v>189</v>
      </c>
      <c r="B219" s="87">
        <f>+B218+1</f>
        <v>5</v>
      </c>
      <c r="C219" s="88" t="s">
        <v>83</v>
      </c>
      <c r="D219" s="89" t="s">
        <v>414</v>
      </c>
      <c r="E219" s="88" t="s">
        <v>3</v>
      </c>
      <c r="F219" s="90">
        <v>445008</v>
      </c>
      <c r="G219" s="91"/>
      <c r="H219" s="92">
        <v>198210</v>
      </c>
      <c r="I219" s="93" t="s">
        <v>498</v>
      </c>
      <c r="J219" s="22">
        <f t="shared" si="33"/>
        <v>445008</v>
      </c>
      <c r="K219" s="22">
        <f t="shared" si="34"/>
        <v>198210</v>
      </c>
      <c r="L219" s="23"/>
      <c r="M219" s="23"/>
      <c r="N219" s="23"/>
      <c r="O219" s="23"/>
      <c r="P219" s="23"/>
      <c r="Q219" s="23"/>
      <c r="R219" s="23"/>
      <c r="S219" s="23"/>
      <c r="T219" s="23"/>
      <c r="U219" s="23"/>
      <c r="V219" s="24"/>
      <c r="W219" s="24"/>
      <c r="X219" s="24"/>
      <c r="Y219" s="24"/>
      <c r="Z219" s="24"/>
      <c r="AA219" s="24"/>
      <c r="AB219" s="24"/>
      <c r="AC219" s="24"/>
      <c r="AD219" s="24"/>
      <c r="AE219" s="24"/>
      <c r="AF219" s="24"/>
      <c r="AG219" s="24"/>
      <c r="AH219" s="24"/>
      <c r="AI219" s="24"/>
      <c r="AJ219" s="24"/>
      <c r="AK219" s="24"/>
      <c r="AL219" s="24"/>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c r="CA219" s="25"/>
      <c r="CB219" s="25"/>
      <c r="CC219" s="25"/>
      <c r="CD219" s="25"/>
      <c r="CE219" s="25"/>
      <c r="CF219" s="25"/>
      <c r="CG219" s="25"/>
      <c r="CH219" s="25"/>
      <c r="CI219" s="25"/>
      <c r="CJ219" s="25"/>
      <c r="CK219" s="25"/>
      <c r="CL219" s="25"/>
      <c r="CM219" s="25"/>
      <c r="CN219" s="25"/>
      <c r="CO219" s="25"/>
      <c r="CP219" s="25"/>
      <c r="CQ219" s="25"/>
      <c r="CR219" s="25"/>
      <c r="CS219" s="25"/>
      <c r="CT219" s="25"/>
      <c r="CU219" s="25"/>
      <c r="CV219" s="25"/>
      <c r="CW219" s="25"/>
      <c r="CX219" s="25"/>
      <c r="CY219" s="25"/>
      <c r="CZ219" s="25"/>
      <c r="DA219" s="25"/>
      <c r="DB219" s="25"/>
      <c r="DC219" s="25"/>
      <c r="DD219" s="25"/>
      <c r="DE219" s="25"/>
      <c r="DF219" s="25"/>
      <c r="DG219" s="25"/>
      <c r="DH219" s="25"/>
      <c r="DI219" s="25"/>
      <c r="DJ219" s="25"/>
    </row>
    <row r="220" spans="1:38" s="25" customFormat="1" ht="15.75" customHeight="1">
      <c r="A220" s="109">
        <f>A219+1</f>
        <v>190</v>
      </c>
      <c r="B220" s="87">
        <f>+B219+1</f>
        <v>6</v>
      </c>
      <c r="C220" s="88" t="s">
        <v>268</v>
      </c>
      <c r="D220" s="89" t="s">
        <v>269</v>
      </c>
      <c r="E220" s="88" t="s">
        <v>426</v>
      </c>
      <c r="F220" s="90">
        <v>262550</v>
      </c>
      <c r="G220" s="91"/>
      <c r="H220" s="92"/>
      <c r="I220" s="93"/>
      <c r="J220" s="22">
        <f t="shared" si="33"/>
        <v>262550</v>
      </c>
      <c r="K220" s="22">
        <f t="shared" si="34"/>
        <v>0</v>
      </c>
      <c r="L220" s="23"/>
      <c r="M220" s="23"/>
      <c r="N220" s="23"/>
      <c r="O220" s="23"/>
      <c r="P220" s="23"/>
      <c r="Q220" s="23"/>
      <c r="R220" s="23"/>
      <c r="S220" s="23"/>
      <c r="T220" s="23"/>
      <c r="U220" s="23"/>
      <c r="V220" s="24"/>
      <c r="W220" s="24"/>
      <c r="X220" s="24"/>
      <c r="Y220" s="24"/>
      <c r="Z220" s="24"/>
      <c r="AA220" s="24"/>
      <c r="AB220" s="24"/>
      <c r="AC220" s="24"/>
      <c r="AD220" s="24"/>
      <c r="AE220" s="24"/>
      <c r="AF220" s="24"/>
      <c r="AG220" s="24"/>
      <c r="AH220" s="24"/>
      <c r="AI220" s="24"/>
      <c r="AJ220" s="24"/>
      <c r="AK220" s="24"/>
      <c r="AL220" s="24"/>
    </row>
    <row r="221" spans="1:114" s="54" customFormat="1" ht="15.75" customHeight="1">
      <c r="A221" s="112">
        <f>A220+1</f>
        <v>191</v>
      </c>
      <c r="B221" s="113">
        <f>+B220+1</f>
        <v>7</v>
      </c>
      <c r="C221" s="114" t="s">
        <v>148</v>
      </c>
      <c r="D221" s="115" t="s">
        <v>399</v>
      </c>
      <c r="E221" s="114" t="s">
        <v>538</v>
      </c>
      <c r="F221" s="116">
        <v>1191668.91</v>
      </c>
      <c r="G221" s="117"/>
      <c r="H221" s="118"/>
      <c r="I221" s="120"/>
      <c r="J221" s="22">
        <f t="shared" si="33"/>
        <v>1191668.91</v>
      </c>
      <c r="K221" s="22">
        <f t="shared" si="34"/>
        <v>0</v>
      </c>
      <c r="L221" s="23"/>
      <c r="M221" s="23"/>
      <c r="N221" s="23"/>
      <c r="O221" s="23"/>
      <c r="P221" s="23"/>
      <c r="Q221" s="23"/>
      <c r="R221" s="23"/>
      <c r="S221" s="23"/>
      <c r="T221" s="23"/>
      <c r="U221" s="23"/>
      <c r="V221" s="24"/>
      <c r="W221" s="24"/>
      <c r="X221" s="24"/>
      <c r="Y221" s="24"/>
      <c r="Z221" s="24"/>
      <c r="AA221" s="24"/>
      <c r="AB221" s="24"/>
      <c r="AC221" s="24"/>
      <c r="AD221" s="24"/>
      <c r="AE221" s="24"/>
      <c r="AF221" s="24"/>
      <c r="AG221" s="24"/>
      <c r="AH221" s="24"/>
      <c r="AI221" s="24"/>
      <c r="AJ221" s="24"/>
      <c r="AK221" s="24"/>
      <c r="AL221" s="24"/>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c r="CA221" s="25"/>
      <c r="CB221" s="25"/>
      <c r="CC221" s="25"/>
      <c r="CD221" s="25"/>
      <c r="CE221" s="25"/>
      <c r="CF221" s="25"/>
      <c r="CG221" s="25"/>
      <c r="CH221" s="25"/>
      <c r="CI221" s="25"/>
      <c r="CJ221" s="25"/>
      <c r="CK221" s="25"/>
      <c r="CL221" s="25"/>
      <c r="CM221" s="25"/>
      <c r="CN221" s="25"/>
      <c r="CO221" s="25"/>
      <c r="CP221" s="25"/>
      <c r="CQ221" s="25"/>
      <c r="CR221" s="25"/>
      <c r="CS221" s="25"/>
      <c r="CT221" s="25"/>
      <c r="CU221" s="25"/>
      <c r="CV221" s="25"/>
      <c r="CW221" s="25"/>
      <c r="CX221" s="25"/>
      <c r="CY221" s="25"/>
      <c r="CZ221" s="25"/>
      <c r="DA221" s="25"/>
      <c r="DB221" s="25"/>
      <c r="DC221" s="25"/>
      <c r="DD221" s="25"/>
      <c r="DE221" s="25"/>
      <c r="DF221" s="25"/>
      <c r="DG221" s="25"/>
      <c r="DH221" s="25"/>
      <c r="DI221" s="25"/>
      <c r="DJ221" s="25"/>
    </row>
    <row r="222" spans="1:114" s="26" customFormat="1" ht="15.75" customHeight="1">
      <c r="A222" s="167" t="s">
        <v>303</v>
      </c>
      <c r="B222" s="168"/>
      <c r="C222" s="168"/>
      <c r="D222" s="168"/>
      <c r="E222" s="18"/>
      <c r="F222" s="19">
        <f>SUM(F215:F221)</f>
        <v>95047668.68793738</v>
      </c>
      <c r="G222" s="19"/>
      <c r="H222" s="20">
        <f>SUM(H215:H221)</f>
        <v>1610927544</v>
      </c>
      <c r="I222" s="21"/>
      <c r="J222" s="22"/>
      <c r="K222" s="33"/>
      <c r="L222" s="23"/>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c r="CA222" s="25"/>
      <c r="CB222" s="25"/>
      <c r="CC222" s="25"/>
      <c r="CD222" s="25"/>
      <c r="CE222" s="25"/>
      <c r="CF222" s="25"/>
      <c r="CG222" s="25"/>
      <c r="CH222" s="25"/>
      <c r="CI222" s="25"/>
      <c r="CJ222" s="25"/>
      <c r="CK222" s="25"/>
      <c r="CL222" s="25"/>
      <c r="CM222" s="25"/>
      <c r="CN222" s="25"/>
      <c r="CO222" s="25"/>
      <c r="CP222" s="25"/>
      <c r="CQ222" s="25"/>
      <c r="CR222" s="25"/>
      <c r="CS222" s="25"/>
      <c r="CT222" s="25"/>
      <c r="CU222" s="25"/>
      <c r="CV222" s="25"/>
      <c r="CW222" s="25"/>
      <c r="CX222" s="25"/>
      <c r="CY222" s="25"/>
      <c r="CZ222" s="25"/>
      <c r="DA222" s="25"/>
      <c r="DB222" s="25"/>
      <c r="DC222" s="25"/>
      <c r="DD222" s="25"/>
      <c r="DE222" s="25"/>
      <c r="DF222" s="25"/>
      <c r="DG222" s="25"/>
      <c r="DH222" s="25"/>
      <c r="DI222" s="25"/>
      <c r="DJ222" s="25"/>
    </row>
    <row r="223" spans="1:114" s="34" customFormat="1" ht="15.75" customHeight="1">
      <c r="A223" s="170">
        <v>2001</v>
      </c>
      <c r="B223" s="171"/>
      <c r="C223" s="171"/>
      <c r="D223" s="171"/>
      <c r="E223" s="171"/>
      <c r="F223" s="171"/>
      <c r="G223" s="171"/>
      <c r="H223" s="171"/>
      <c r="I223" s="172"/>
      <c r="J223" s="22">
        <f aca="true" t="shared" si="35" ref="J223:J236">+F223</f>
        <v>0</v>
      </c>
      <c r="K223" s="22">
        <f aca="true" t="shared" si="36" ref="K223:K236">+H223</f>
        <v>0</v>
      </c>
      <c r="L223" s="23"/>
      <c r="M223" s="23"/>
      <c r="N223" s="23"/>
      <c r="O223" s="23"/>
      <c r="P223" s="23"/>
      <c r="Q223" s="23"/>
      <c r="R223" s="23"/>
      <c r="S223" s="23"/>
      <c r="T223" s="23"/>
      <c r="U223" s="23"/>
      <c r="V223" s="24"/>
      <c r="W223" s="24"/>
      <c r="X223" s="24"/>
      <c r="Y223" s="24"/>
      <c r="Z223" s="24"/>
      <c r="AA223" s="24"/>
      <c r="AB223" s="24"/>
      <c r="AC223" s="24"/>
      <c r="AD223" s="24"/>
      <c r="AE223" s="24"/>
      <c r="AF223" s="24"/>
      <c r="AG223" s="24"/>
      <c r="AH223" s="24"/>
      <c r="AI223" s="24"/>
      <c r="AJ223" s="24"/>
      <c r="AK223" s="24"/>
      <c r="AL223" s="24"/>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c r="CA223" s="25"/>
      <c r="CB223" s="25"/>
      <c r="CC223" s="25"/>
      <c r="CD223" s="25"/>
      <c r="CE223" s="25"/>
      <c r="CF223" s="25"/>
      <c r="CG223" s="25"/>
      <c r="CH223" s="25"/>
      <c r="CI223" s="25"/>
      <c r="CJ223" s="25"/>
      <c r="CK223" s="25"/>
      <c r="CL223" s="25"/>
      <c r="CM223" s="25"/>
      <c r="CN223" s="25"/>
      <c r="CO223" s="25"/>
      <c r="CP223" s="25"/>
      <c r="CQ223" s="25"/>
      <c r="CR223" s="25"/>
      <c r="CS223" s="25"/>
      <c r="CT223" s="25"/>
      <c r="CU223" s="25"/>
      <c r="CV223" s="25"/>
      <c r="CW223" s="25"/>
      <c r="CX223" s="25"/>
      <c r="CY223" s="25"/>
      <c r="CZ223" s="25"/>
      <c r="DA223" s="25"/>
      <c r="DB223" s="25"/>
      <c r="DC223" s="25"/>
      <c r="DD223" s="25"/>
      <c r="DE223" s="25"/>
      <c r="DF223" s="25"/>
      <c r="DG223" s="25"/>
      <c r="DH223" s="25"/>
      <c r="DI223" s="25"/>
      <c r="DJ223" s="25"/>
    </row>
    <row r="224" spans="1:115" s="56" customFormat="1" ht="15.75" customHeight="1">
      <c r="A224" s="109">
        <f>+A221+1</f>
        <v>192</v>
      </c>
      <c r="B224" s="87">
        <f aca="true" t="shared" si="37" ref="B224:B236">+B223+1</f>
        <v>1</v>
      </c>
      <c r="C224" s="88" t="s">
        <v>147</v>
      </c>
      <c r="D224" s="89" t="s">
        <v>673</v>
      </c>
      <c r="E224" s="88" t="s">
        <v>427</v>
      </c>
      <c r="F224" s="90">
        <f>50000+100000+400000</f>
        <v>550000</v>
      </c>
      <c r="G224" s="91"/>
      <c r="H224" s="92">
        <v>2100000</v>
      </c>
      <c r="I224" s="93" t="s">
        <v>498</v>
      </c>
      <c r="J224" s="22">
        <f t="shared" si="35"/>
        <v>550000</v>
      </c>
      <c r="K224" s="22">
        <f t="shared" si="36"/>
        <v>2100000</v>
      </c>
      <c r="L224" s="23"/>
      <c r="M224" s="23"/>
      <c r="N224" s="23"/>
      <c r="O224" s="23"/>
      <c r="P224" s="23"/>
      <c r="Q224" s="23"/>
      <c r="R224" s="23"/>
      <c r="S224" s="23"/>
      <c r="T224" s="23"/>
      <c r="U224" s="23"/>
      <c r="V224" s="24"/>
      <c r="W224" s="24"/>
      <c r="X224" s="24"/>
      <c r="Y224" s="24"/>
      <c r="Z224" s="24"/>
      <c r="AA224" s="24"/>
      <c r="AB224" s="24"/>
      <c r="AC224" s="24"/>
      <c r="AD224" s="24"/>
      <c r="AE224" s="24"/>
      <c r="AF224" s="24"/>
      <c r="AG224" s="24"/>
      <c r="AH224" s="24"/>
      <c r="AI224" s="24"/>
      <c r="AJ224" s="24"/>
      <c r="AK224" s="24"/>
      <c r="AL224" s="24"/>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c r="CA224" s="25"/>
      <c r="CB224" s="25"/>
      <c r="CC224" s="25"/>
      <c r="CD224" s="25"/>
      <c r="CE224" s="25"/>
      <c r="CF224" s="25"/>
      <c r="CG224" s="25"/>
      <c r="CH224" s="25"/>
      <c r="CI224" s="25"/>
      <c r="CJ224" s="25"/>
      <c r="CK224" s="25"/>
      <c r="CL224" s="25"/>
      <c r="CM224" s="25"/>
      <c r="CN224" s="25"/>
      <c r="CO224" s="25"/>
      <c r="CP224" s="25"/>
      <c r="CQ224" s="25"/>
      <c r="CR224" s="25"/>
      <c r="CS224" s="25"/>
      <c r="CT224" s="25"/>
      <c r="CU224" s="25"/>
      <c r="CV224" s="25"/>
      <c r="CW224" s="25"/>
      <c r="CX224" s="25"/>
      <c r="CY224" s="25"/>
      <c r="CZ224" s="25"/>
      <c r="DA224" s="25"/>
      <c r="DB224" s="25"/>
      <c r="DC224" s="25"/>
      <c r="DD224" s="25"/>
      <c r="DE224" s="25"/>
      <c r="DF224" s="25"/>
      <c r="DG224" s="25"/>
      <c r="DH224" s="25"/>
      <c r="DI224" s="25"/>
      <c r="DJ224" s="25"/>
      <c r="DK224" s="55"/>
    </row>
    <row r="225" spans="1:38" s="25" customFormat="1" ht="15.75" customHeight="1">
      <c r="A225" s="109">
        <f aca="true" t="shared" si="38" ref="A225:A236">+A224+1</f>
        <v>193</v>
      </c>
      <c r="B225" s="87">
        <f t="shared" si="37"/>
        <v>2</v>
      </c>
      <c r="C225" s="88" t="s">
        <v>142</v>
      </c>
      <c r="D225" s="89" t="s">
        <v>179</v>
      </c>
      <c r="E225" s="88" t="s">
        <v>3</v>
      </c>
      <c r="F225" s="90">
        <f>172572-30000</f>
        <v>142572</v>
      </c>
      <c r="G225" s="91"/>
      <c r="H225" s="92">
        <f>1330439-350000</f>
        <v>980439</v>
      </c>
      <c r="I225" s="93" t="s">
        <v>498</v>
      </c>
      <c r="J225" s="22">
        <f t="shared" si="35"/>
        <v>142572</v>
      </c>
      <c r="K225" s="22">
        <f t="shared" si="36"/>
        <v>980439</v>
      </c>
      <c r="L225" s="23"/>
      <c r="M225" s="23"/>
      <c r="N225" s="23"/>
      <c r="O225" s="23"/>
      <c r="P225" s="23"/>
      <c r="Q225" s="23"/>
      <c r="R225" s="23"/>
      <c r="S225" s="23"/>
      <c r="T225" s="23"/>
      <c r="U225" s="23"/>
      <c r="V225" s="24"/>
      <c r="W225" s="24"/>
      <c r="X225" s="24"/>
      <c r="Y225" s="24"/>
      <c r="Z225" s="24"/>
      <c r="AA225" s="24"/>
      <c r="AB225" s="24"/>
      <c r="AC225" s="24"/>
      <c r="AD225" s="24"/>
      <c r="AE225" s="24"/>
      <c r="AF225" s="24"/>
      <c r="AG225" s="24"/>
      <c r="AH225" s="24"/>
      <c r="AI225" s="24"/>
      <c r="AJ225" s="24"/>
      <c r="AK225" s="24"/>
      <c r="AL225" s="24"/>
    </row>
    <row r="226" spans="1:38" s="25" customFormat="1" ht="15.75" customHeight="1">
      <c r="A226" s="109">
        <f t="shared" si="38"/>
        <v>194</v>
      </c>
      <c r="B226" s="87">
        <f t="shared" si="37"/>
        <v>3</v>
      </c>
      <c r="C226" s="88" t="s">
        <v>143</v>
      </c>
      <c r="D226" s="89" t="s">
        <v>146</v>
      </c>
      <c r="E226" s="88" t="s">
        <v>427</v>
      </c>
      <c r="F226" s="90">
        <f>45000+75000+5000+10000+10000+28000+5000+21000+28000</f>
        <v>227000</v>
      </c>
      <c r="G226" s="91"/>
      <c r="H226" s="92"/>
      <c r="I226" s="93"/>
      <c r="J226" s="22">
        <f t="shared" si="35"/>
        <v>227000</v>
      </c>
      <c r="K226" s="22">
        <f t="shared" si="36"/>
        <v>0</v>
      </c>
      <c r="L226" s="23"/>
      <c r="M226" s="23"/>
      <c r="N226" s="23"/>
      <c r="O226" s="23"/>
      <c r="P226" s="23"/>
      <c r="Q226" s="23"/>
      <c r="R226" s="23"/>
      <c r="S226" s="23"/>
      <c r="T226" s="23"/>
      <c r="U226" s="23"/>
      <c r="V226" s="24"/>
      <c r="W226" s="24"/>
      <c r="X226" s="24"/>
      <c r="Y226" s="24"/>
      <c r="Z226" s="24"/>
      <c r="AA226" s="24"/>
      <c r="AB226" s="24"/>
      <c r="AC226" s="24"/>
      <c r="AD226" s="24"/>
      <c r="AE226" s="24"/>
      <c r="AF226" s="24"/>
      <c r="AG226" s="24"/>
      <c r="AH226" s="24"/>
      <c r="AI226" s="24"/>
      <c r="AJ226" s="24"/>
      <c r="AK226" s="24"/>
      <c r="AL226" s="24"/>
    </row>
    <row r="227" spans="1:38" s="25" customFormat="1" ht="15.75" customHeight="1">
      <c r="A227" s="109">
        <f t="shared" si="38"/>
        <v>195</v>
      </c>
      <c r="B227" s="87">
        <f t="shared" si="37"/>
        <v>4</v>
      </c>
      <c r="C227" s="88" t="s">
        <v>144</v>
      </c>
      <c r="D227" s="89" t="s">
        <v>145</v>
      </c>
      <c r="E227" s="88" t="s">
        <v>427</v>
      </c>
      <c r="F227" s="90">
        <f>65260861.4/3.5</f>
        <v>18645960.4</v>
      </c>
      <c r="G227" s="91"/>
      <c r="H227" s="92"/>
      <c r="I227" s="93"/>
      <c r="J227" s="22">
        <f t="shared" si="35"/>
        <v>18645960.4</v>
      </c>
      <c r="K227" s="22">
        <f t="shared" si="36"/>
        <v>0</v>
      </c>
      <c r="L227" s="23"/>
      <c r="M227" s="23"/>
      <c r="N227" s="23"/>
      <c r="O227" s="23"/>
      <c r="P227" s="23"/>
      <c r="Q227" s="23"/>
      <c r="R227" s="23"/>
      <c r="S227" s="23"/>
      <c r="T227" s="23"/>
      <c r="U227" s="23"/>
      <c r="V227" s="24"/>
      <c r="W227" s="24"/>
      <c r="X227" s="24"/>
      <c r="Y227" s="24"/>
      <c r="Z227" s="24"/>
      <c r="AA227" s="24"/>
      <c r="AB227" s="24"/>
      <c r="AC227" s="24"/>
      <c r="AD227" s="24"/>
      <c r="AE227" s="24"/>
      <c r="AF227" s="24"/>
      <c r="AG227" s="24"/>
      <c r="AH227" s="24"/>
      <c r="AI227" s="24"/>
      <c r="AJ227" s="24"/>
      <c r="AK227" s="24"/>
      <c r="AL227" s="24"/>
    </row>
    <row r="228" spans="1:114" s="48" customFormat="1" ht="15.75" customHeight="1">
      <c r="A228" s="109">
        <f t="shared" si="38"/>
        <v>196</v>
      </c>
      <c r="B228" s="87">
        <f t="shared" si="37"/>
        <v>5</v>
      </c>
      <c r="C228" s="88" t="s">
        <v>151</v>
      </c>
      <c r="D228" s="89" t="s">
        <v>152</v>
      </c>
      <c r="E228" s="88" t="s">
        <v>428</v>
      </c>
      <c r="F228" s="90">
        <v>377552.67</v>
      </c>
      <c r="G228" s="91"/>
      <c r="H228" s="92"/>
      <c r="I228" s="93"/>
      <c r="J228" s="22">
        <f t="shared" si="35"/>
        <v>377552.67</v>
      </c>
      <c r="K228" s="22">
        <f t="shared" si="36"/>
        <v>0</v>
      </c>
      <c r="L228" s="125"/>
      <c r="M228" s="23"/>
      <c r="N228" s="23"/>
      <c r="O228" s="60"/>
      <c r="P228" s="60"/>
      <c r="Q228" s="126"/>
      <c r="R228" s="23"/>
      <c r="S228" s="23"/>
      <c r="T228" s="23"/>
      <c r="U228" s="23"/>
      <c r="V228" s="24"/>
      <c r="W228" s="24"/>
      <c r="X228" s="24"/>
      <c r="Y228" s="24"/>
      <c r="Z228" s="24"/>
      <c r="AA228" s="24"/>
      <c r="AB228" s="24"/>
      <c r="AC228" s="24"/>
      <c r="AD228" s="24"/>
      <c r="AE228" s="24"/>
      <c r="AF228" s="24"/>
      <c r="AG228" s="24"/>
      <c r="AH228" s="24"/>
      <c r="AI228" s="24"/>
      <c r="AJ228" s="24"/>
      <c r="AK228" s="24"/>
      <c r="AL228" s="24"/>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c r="CA228" s="25"/>
      <c r="CB228" s="25"/>
      <c r="CC228" s="25"/>
      <c r="CD228" s="25"/>
      <c r="CE228" s="25"/>
      <c r="CF228" s="25"/>
      <c r="CG228" s="25"/>
      <c r="CH228" s="25"/>
      <c r="CI228" s="25"/>
      <c r="CJ228" s="25"/>
      <c r="CK228" s="25"/>
      <c r="CL228" s="25"/>
      <c r="CM228" s="25"/>
      <c r="CN228" s="25"/>
      <c r="CO228" s="25"/>
      <c r="CP228" s="25"/>
      <c r="CQ228" s="25"/>
      <c r="CR228" s="25"/>
      <c r="CS228" s="25"/>
      <c r="CT228" s="25"/>
      <c r="CU228" s="25"/>
      <c r="CV228" s="25"/>
      <c r="CW228" s="25"/>
      <c r="CX228" s="25"/>
      <c r="CY228" s="25"/>
      <c r="CZ228" s="25"/>
      <c r="DA228" s="25"/>
      <c r="DB228" s="25"/>
      <c r="DC228" s="25"/>
      <c r="DD228" s="25"/>
      <c r="DE228" s="25"/>
      <c r="DF228" s="25"/>
      <c r="DG228" s="25"/>
      <c r="DH228" s="25"/>
      <c r="DI228" s="25"/>
      <c r="DJ228" s="25"/>
    </row>
    <row r="229" spans="1:114" s="48" customFormat="1" ht="15.75" customHeight="1">
      <c r="A229" s="109">
        <f t="shared" si="38"/>
        <v>197</v>
      </c>
      <c r="B229" s="87">
        <f t="shared" si="37"/>
        <v>6</v>
      </c>
      <c r="C229" s="88" t="s">
        <v>153</v>
      </c>
      <c r="D229" s="89" t="s">
        <v>154</v>
      </c>
      <c r="E229" s="88" t="s">
        <v>3</v>
      </c>
      <c r="F229" s="90">
        <v>5018</v>
      </c>
      <c r="G229" s="91"/>
      <c r="H229" s="92">
        <v>86800</v>
      </c>
      <c r="I229" s="93" t="s">
        <v>498</v>
      </c>
      <c r="J229" s="22">
        <f t="shared" si="35"/>
        <v>5018</v>
      </c>
      <c r="K229" s="22">
        <f t="shared" si="36"/>
        <v>86800</v>
      </c>
      <c r="L229" s="23"/>
      <c r="M229" s="23"/>
      <c r="N229" s="23"/>
      <c r="O229" s="23"/>
      <c r="P229" s="23"/>
      <c r="Q229" s="23"/>
      <c r="R229" s="23"/>
      <c r="S229" s="23"/>
      <c r="T229" s="23"/>
      <c r="U229" s="23"/>
      <c r="V229" s="24"/>
      <c r="W229" s="24"/>
      <c r="X229" s="24"/>
      <c r="Y229" s="24"/>
      <c r="Z229" s="24"/>
      <c r="AA229" s="24"/>
      <c r="AB229" s="24"/>
      <c r="AC229" s="24"/>
      <c r="AD229" s="24"/>
      <c r="AE229" s="24"/>
      <c r="AF229" s="24"/>
      <c r="AG229" s="24"/>
      <c r="AH229" s="24"/>
      <c r="AI229" s="24"/>
      <c r="AJ229" s="24"/>
      <c r="AK229" s="24"/>
      <c r="AL229" s="24"/>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c r="CA229" s="25"/>
      <c r="CB229" s="25"/>
      <c r="CC229" s="25"/>
      <c r="CD229" s="25"/>
      <c r="CE229" s="25"/>
      <c r="CF229" s="25"/>
      <c r="CG229" s="25"/>
      <c r="CH229" s="25"/>
      <c r="CI229" s="25"/>
      <c r="CJ229" s="25"/>
      <c r="CK229" s="25"/>
      <c r="CL229" s="25"/>
      <c r="CM229" s="25"/>
      <c r="CN229" s="25"/>
      <c r="CO229" s="25"/>
      <c r="CP229" s="25"/>
      <c r="CQ229" s="25"/>
      <c r="CR229" s="25"/>
      <c r="CS229" s="25"/>
      <c r="CT229" s="25"/>
      <c r="CU229" s="25"/>
      <c r="CV229" s="25"/>
      <c r="CW229" s="25"/>
      <c r="CX229" s="25"/>
      <c r="CY229" s="25"/>
      <c r="CZ229" s="25"/>
      <c r="DA229" s="25"/>
      <c r="DB229" s="25"/>
      <c r="DC229" s="25"/>
      <c r="DD229" s="25"/>
      <c r="DE229" s="25"/>
      <c r="DF229" s="25"/>
      <c r="DG229" s="25"/>
      <c r="DH229" s="25"/>
      <c r="DI229" s="25"/>
      <c r="DJ229" s="25"/>
    </row>
    <row r="230" spans="1:114" s="48" customFormat="1" ht="15.75" customHeight="1">
      <c r="A230" s="109">
        <f t="shared" si="38"/>
        <v>198</v>
      </c>
      <c r="B230" s="87">
        <f t="shared" si="37"/>
        <v>7</v>
      </c>
      <c r="C230" s="88" t="s">
        <v>155</v>
      </c>
      <c r="D230" s="89" t="s">
        <v>156</v>
      </c>
      <c r="E230" s="88" t="s">
        <v>428</v>
      </c>
      <c r="F230" s="90">
        <v>227101000</v>
      </c>
      <c r="G230" s="91"/>
      <c r="H230" s="92">
        <v>17500000</v>
      </c>
      <c r="I230" s="93" t="s">
        <v>498</v>
      </c>
      <c r="J230" s="22">
        <f t="shared" si="35"/>
        <v>227101000</v>
      </c>
      <c r="K230" s="22">
        <f t="shared" si="36"/>
        <v>17500000</v>
      </c>
      <c r="L230" s="23"/>
      <c r="M230" s="23"/>
      <c r="N230" s="23"/>
      <c r="O230" s="23"/>
      <c r="P230" s="23"/>
      <c r="Q230" s="23"/>
      <c r="R230" s="23"/>
      <c r="S230" s="23"/>
      <c r="T230" s="23"/>
      <c r="U230" s="23"/>
      <c r="V230" s="24"/>
      <c r="W230" s="24"/>
      <c r="X230" s="24"/>
      <c r="Y230" s="24"/>
      <c r="Z230" s="24"/>
      <c r="AA230" s="24"/>
      <c r="AB230" s="24"/>
      <c r="AC230" s="24"/>
      <c r="AD230" s="24"/>
      <c r="AE230" s="24"/>
      <c r="AF230" s="24"/>
      <c r="AG230" s="24"/>
      <c r="AH230" s="24"/>
      <c r="AI230" s="24"/>
      <c r="AJ230" s="24"/>
      <c r="AK230" s="24"/>
      <c r="AL230" s="24"/>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c r="CA230" s="25"/>
      <c r="CB230" s="25"/>
      <c r="CC230" s="25"/>
      <c r="CD230" s="25"/>
      <c r="CE230" s="25"/>
      <c r="CF230" s="25"/>
      <c r="CG230" s="25"/>
      <c r="CH230" s="25"/>
      <c r="CI230" s="25"/>
      <c r="CJ230" s="25"/>
      <c r="CK230" s="25"/>
      <c r="CL230" s="25"/>
      <c r="CM230" s="25"/>
      <c r="CN230" s="25"/>
      <c r="CO230" s="25"/>
      <c r="CP230" s="25"/>
      <c r="CQ230" s="25"/>
      <c r="CR230" s="25"/>
      <c r="CS230" s="25"/>
      <c r="CT230" s="25"/>
      <c r="CU230" s="25"/>
      <c r="CV230" s="25"/>
      <c r="CW230" s="25"/>
      <c r="CX230" s="25"/>
      <c r="CY230" s="25"/>
      <c r="CZ230" s="25"/>
      <c r="DA230" s="25"/>
      <c r="DB230" s="25"/>
      <c r="DC230" s="25"/>
      <c r="DD230" s="25"/>
      <c r="DE230" s="25"/>
      <c r="DF230" s="25"/>
      <c r="DG230" s="25"/>
      <c r="DH230" s="25"/>
      <c r="DI230" s="25"/>
      <c r="DJ230" s="25"/>
    </row>
    <row r="231" spans="1:114" s="48" customFormat="1" ht="15.75" customHeight="1">
      <c r="A231" s="109">
        <f t="shared" si="38"/>
        <v>199</v>
      </c>
      <c r="B231" s="87">
        <f t="shared" si="37"/>
        <v>8</v>
      </c>
      <c r="C231" s="88" t="s">
        <v>158</v>
      </c>
      <c r="D231" s="89" t="s">
        <v>674</v>
      </c>
      <c r="E231" s="88" t="s">
        <v>427</v>
      </c>
      <c r="F231" s="90">
        <v>1000000</v>
      </c>
      <c r="G231" s="91"/>
      <c r="H231" s="92"/>
      <c r="I231" s="93"/>
      <c r="J231" s="22">
        <f t="shared" si="35"/>
        <v>1000000</v>
      </c>
      <c r="K231" s="22">
        <f t="shared" si="36"/>
        <v>0</v>
      </c>
      <c r="L231" s="23"/>
      <c r="M231" s="23"/>
      <c r="N231" s="23"/>
      <c r="O231" s="23"/>
      <c r="P231" s="23"/>
      <c r="Q231" s="23"/>
      <c r="R231" s="23"/>
      <c r="S231" s="23"/>
      <c r="T231" s="23"/>
      <c r="U231" s="23"/>
      <c r="V231" s="24"/>
      <c r="W231" s="24"/>
      <c r="X231" s="24"/>
      <c r="Y231" s="24"/>
      <c r="Z231" s="24"/>
      <c r="AA231" s="24"/>
      <c r="AB231" s="24"/>
      <c r="AC231" s="24"/>
      <c r="AD231" s="24"/>
      <c r="AE231" s="24"/>
      <c r="AF231" s="24"/>
      <c r="AG231" s="24"/>
      <c r="AH231" s="24"/>
      <c r="AI231" s="24"/>
      <c r="AJ231" s="24"/>
      <c r="AK231" s="24"/>
      <c r="AL231" s="24"/>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c r="CA231" s="25"/>
      <c r="CB231" s="25"/>
      <c r="CC231" s="25"/>
      <c r="CD231" s="25"/>
      <c r="CE231" s="25"/>
      <c r="CF231" s="25"/>
      <c r="CG231" s="25"/>
      <c r="CH231" s="25"/>
      <c r="CI231" s="25"/>
      <c r="CJ231" s="25"/>
      <c r="CK231" s="25"/>
      <c r="CL231" s="25"/>
      <c r="CM231" s="25"/>
      <c r="CN231" s="25"/>
      <c r="CO231" s="25"/>
      <c r="CP231" s="25"/>
      <c r="CQ231" s="25"/>
      <c r="CR231" s="25"/>
      <c r="CS231" s="25"/>
      <c r="CT231" s="25"/>
      <c r="CU231" s="25"/>
      <c r="CV231" s="25"/>
      <c r="CW231" s="25"/>
      <c r="CX231" s="25"/>
      <c r="CY231" s="25"/>
      <c r="CZ231" s="25"/>
      <c r="DA231" s="25"/>
      <c r="DB231" s="25"/>
      <c r="DC231" s="25"/>
      <c r="DD231" s="25"/>
      <c r="DE231" s="25"/>
      <c r="DF231" s="25"/>
      <c r="DG231" s="25"/>
      <c r="DH231" s="25"/>
      <c r="DI231" s="25"/>
      <c r="DJ231" s="25"/>
    </row>
    <row r="232" spans="1:38" s="25" customFormat="1" ht="15.75" customHeight="1">
      <c r="A232" s="109">
        <f t="shared" si="38"/>
        <v>200</v>
      </c>
      <c r="B232" s="87">
        <f t="shared" si="37"/>
        <v>9</v>
      </c>
      <c r="C232" s="88" t="s">
        <v>164</v>
      </c>
      <c r="D232" s="89" t="s">
        <v>163</v>
      </c>
      <c r="E232" s="88" t="s">
        <v>3</v>
      </c>
      <c r="F232" s="90">
        <v>257000</v>
      </c>
      <c r="G232" s="91"/>
      <c r="H232" s="92">
        <v>3000000</v>
      </c>
      <c r="I232" s="93" t="s">
        <v>498</v>
      </c>
      <c r="J232" s="22">
        <f t="shared" si="35"/>
        <v>257000</v>
      </c>
      <c r="K232" s="22">
        <f t="shared" si="36"/>
        <v>3000000</v>
      </c>
      <c r="L232" s="23"/>
      <c r="M232" s="23"/>
      <c r="N232" s="23"/>
      <c r="O232" s="23"/>
      <c r="P232" s="23"/>
      <c r="Q232" s="23"/>
      <c r="R232" s="23"/>
      <c r="S232" s="23"/>
      <c r="T232" s="23"/>
      <c r="U232" s="23"/>
      <c r="V232" s="24"/>
      <c r="W232" s="24"/>
      <c r="X232" s="24"/>
      <c r="Y232" s="24"/>
      <c r="Z232" s="24"/>
      <c r="AA232" s="24"/>
      <c r="AB232" s="24"/>
      <c r="AC232" s="24"/>
      <c r="AD232" s="24"/>
      <c r="AE232" s="24"/>
      <c r="AF232" s="24"/>
      <c r="AG232" s="24"/>
      <c r="AH232" s="24"/>
      <c r="AI232" s="24"/>
      <c r="AJ232" s="24"/>
      <c r="AK232" s="24"/>
      <c r="AL232" s="24"/>
    </row>
    <row r="233" spans="1:114" s="48" customFormat="1" ht="15.75" customHeight="1">
      <c r="A233" s="109">
        <f t="shared" si="38"/>
        <v>201</v>
      </c>
      <c r="B233" s="87">
        <f t="shared" si="37"/>
        <v>10</v>
      </c>
      <c r="C233" s="88" t="s">
        <v>162</v>
      </c>
      <c r="D233" s="89" t="s">
        <v>180</v>
      </c>
      <c r="E233" s="88" t="s">
        <v>3</v>
      </c>
      <c r="F233" s="90">
        <f>750000+36600</f>
        <v>786600</v>
      </c>
      <c r="G233" s="91"/>
      <c r="H233" s="92">
        <f>4000000+487960</f>
        <v>4487960</v>
      </c>
      <c r="I233" s="93" t="s">
        <v>498</v>
      </c>
      <c r="J233" s="22">
        <f t="shared" si="35"/>
        <v>786600</v>
      </c>
      <c r="K233" s="22">
        <f t="shared" si="36"/>
        <v>4487960</v>
      </c>
      <c r="L233" s="23"/>
      <c r="M233" s="23"/>
      <c r="N233" s="23"/>
      <c r="O233" s="23"/>
      <c r="P233" s="23"/>
      <c r="Q233" s="23"/>
      <c r="R233" s="23"/>
      <c r="S233" s="23"/>
      <c r="T233" s="23"/>
      <c r="U233" s="23"/>
      <c r="V233" s="24"/>
      <c r="W233" s="24"/>
      <c r="X233" s="24"/>
      <c r="Y233" s="24"/>
      <c r="Z233" s="24"/>
      <c r="AA233" s="24"/>
      <c r="AB233" s="24"/>
      <c r="AC233" s="24"/>
      <c r="AD233" s="24"/>
      <c r="AE233" s="24"/>
      <c r="AF233" s="24"/>
      <c r="AG233" s="24"/>
      <c r="AH233" s="24"/>
      <c r="AI233" s="24"/>
      <c r="AJ233" s="24"/>
      <c r="AK233" s="24"/>
      <c r="AL233" s="24"/>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c r="CA233" s="25"/>
      <c r="CB233" s="25"/>
      <c r="CC233" s="25"/>
      <c r="CD233" s="25"/>
      <c r="CE233" s="25"/>
      <c r="CF233" s="25"/>
      <c r="CG233" s="25"/>
      <c r="CH233" s="25"/>
      <c r="CI233" s="25"/>
      <c r="CJ233" s="25"/>
      <c r="CK233" s="25"/>
      <c r="CL233" s="25"/>
      <c r="CM233" s="25"/>
      <c r="CN233" s="25"/>
      <c r="CO233" s="25"/>
      <c r="CP233" s="25"/>
      <c r="CQ233" s="25"/>
      <c r="CR233" s="25"/>
      <c r="CS233" s="25"/>
      <c r="CT233" s="25"/>
      <c r="CU233" s="25"/>
      <c r="CV233" s="25"/>
      <c r="CW233" s="25"/>
      <c r="CX233" s="25"/>
      <c r="CY233" s="25"/>
      <c r="CZ233" s="25"/>
      <c r="DA233" s="25"/>
      <c r="DB233" s="25"/>
      <c r="DC233" s="25"/>
      <c r="DD233" s="25"/>
      <c r="DE233" s="25"/>
      <c r="DF233" s="25"/>
      <c r="DG233" s="25"/>
      <c r="DH233" s="25"/>
      <c r="DI233" s="25"/>
      <c r="DJ233" s="25"/>
    </row>
    <row r="234" spans="1:38" s="25" customFormat="1" ht="15.75" customHeight="1">
      <c r="A234" s="109">
        <f t="shared" si="38"/>
        <v>202</v>
      </c>
      <c r="B234" s="87">
        <f t="shared" si="37"/>
        <v>11</v>
      </c>
      <c r="C234" s="88" t="s">
        <v>169</v>
      </c>
      <c r="D234" s="89" t="s">
        <v>166</v>
      </c>
      <c r="E234" s="88" t="s">
        <v>10</v>
      </c>
      <c r="F234" s="90">
        <f>330201+750000</f>
        <v>1080201</v>
      </c>
      <c r="G234" s="91"/>
      <c r="H234" s="92"/>
      <c r="I234" s="93"/>
      <c r="J234" s="22">
        <f t="shared" si="35"/>
        <v>1080201</v>
      </c>
      <c r="K234" s="22">
        <f t="shared" si="36"/>
        <v>0</v>
      </c>
      <c r="L234" s="127"/>
      <c r="M234" s="127"/>
      <c r="N234" s="127"/>
      <c r="O234" s="127"/>
      <c r="P234" s="127"/>
      <c r="Q234" s="23"/>
      <c r="R234" s="23"/>
      <c r="S234" s="23"/>
      <c r="T234" s="23"/>
      <c r="U234" s="23"/>
      <c r="V234" s="24"/>
      <c r="W234" s="24"/>
      <c r="X234" s="24"/>
      <c r="Y234" s="24"/>
      <c r="Z234" s="24"/>
      <c r="AA234" s="24"/>
      <c r="AB234" s="24"/>
      <c r="AC234" s="24"/>
      <c r="AD234" s="24"/>
      <c r="AE234" s="24"/>
      <c r="AF234" s="24"/>
      <c r="AG234" s="24"/>
      <c r="AH234" s="24"/>
      <c r="AI234" s="24"/>
      <c r="AJ234" s="24"/>
      <c r="AK234" s="24"/>
      <c r="AL234" s="24"/>
    </row>
    <row r="235" spans="1:38" s="25" customFormat="1" ht="15.75" customHeight="1">
      <c r="A235" s="109">
        <f t="shared" si="38"/>
        <v>203</v>
      </c>
      <c r="B235" s="87">
        <f t="shared" si="37"/>
        <v>12</v>
      </c>
      <c r="C235" s="88" t="s">
        <v>165</v>
      </c>
      <c r="D235" s="89" t="s">
        <v>184</v>
      </c>
      <c r="E235" s="88" t="s">
        <v>427</v>
      </c>
      <c r="F235" s="90">
        <v>4010000</v>
      </c>
      <c r="G235" s="91"/>
      <c r="H235" s="92">
        <v>3000000</v>
      </c>
      <c r="I235" s="93" t="s">
        <v>498</v>
      </c>
      <c r="J235" s="22">
        <f t="shared" si="35"/>
        <v>4010000</v>
      </c>
      <c r="K235" s="22">
        <f t="shared" si="36"/>
        <v>3000000</v>
      </c>
      <c r="L235" s="23"/>
      <c r="M235" s="23"/>
      <c r="N235" s="23"/>
      <c r="O235" s="23"/>
      <c r="P235" s="23"/>
      <c r="Q235" s="23"/>
      <c r="R235" s="23"/>
      <c r="S235" s="23"/>
      <c r="T235" s="23"/>
      <c r="U235" s="23"/>
      <c r="V235" s="24"/>
      <c r="W235" s="24"/>
      <c r="X235" s="24"/>
      <c r="Y235" s="24"/>
      <c r="Z235" s="24"/>
      <c r="AA235" s="24"/>
      <c r="AB235" s="24"/>
      <c r="AC235" s="24"/>
      <c r="AD235" s="24"/>
      <c r="AE235" s="24"/>
      <c r="AF235" s="24"/>
      <c r="AG235" s="24"/>
      <c r="AH235" s="24"/>
      <c r="AI235" s="24"/>
      <c r="AJ235" s="24"/>
      <c r="AK235" s="24"/>
      <c r="AL235" s="24"/>
    </row>
    <row r="236" spans="1:38" s="25" customFormat="1" ht="26.25" customHeight="1">
      <c r="A236" s="112">
        <f t="shared" si="38"/>
        <v>204</v>
      </c>
      <c r="B236" s="113">
        <f t="shared" si="37"/>
        <v>13</v>
      </c>
      <c r="C236" s="114" t="s">
        <v>168</v>
      </c>
      <c r="D236" s="128" t="s">
        <v>167</v>
      </c>
      <c r="E236" s="114" t="s">
        <v>10</v>
      </c>
      <c r="F236" s="116">
        <v>109432</v>
      </c>
      <c r="G236" s="117"/>
      <c r="H236" s="118"/>
      <c r="I236" s="120"/>
      <c r="J236" s="22">
        <f t="shared" si="35"/>
        <v>109432</v>
      </c>
      <c r="K236" s="22">
        <f t="shared" si="36"/>
        <v>0</v>
      </c>
      <c r="L236" s="23"/>
      <c r="M236" s="23"/>
      <c r="N236" s="23"/>
      <c r="O236" s="23"/>
      <c r="P236" s="23"/>
      <c r="Q236" s="23"/>
      <c r="R236" s="23"/>
      <c r="S236" s="23"/>
      <c r="T236" s="23"/>
      <c r="U236" s="23"/>
      <c r="V236" s="24"/>
      <c r="W236" s="24"/>
      <c r="X236" s="24"/>
      <c r="Y236" s="24"/>
      <c r="Z236" s="24"/>
      <c r="AA236" s="24"/>
      <c r="AB236" s="24"/>
      <c r="AC236" s="24"/>
      <c r="AD236" s="24"/>
      <c r="AE236" s="24"/>
      <c r="AF236" s="24"/>
      <c r="AG236" s="24"/>
      <c r="AH236" s="24"/>
      <c r="AI236" s="24"/>
      <c r="AJ236" s="24"/>
      <c r="AK236" s="24"/>
      <c r="AL236" s="24"/>
    </row>
    <row r="237" spans="1:114" s="26" customFormat="1" ht="15.75" customHeight="1">
      <c r="A237" s="167" t="s">
        <v>186</v>
      </c>
      <c r="B237" s="168"/>
      <c r="C237" s="168"/>
      <c r="D237" s="168"/>
      <c r="E237" s="18"/>
      <c r="F237" s="19">
        <f>SUM(F224:F236)</f>
        <v>254292336.07</v>
      </c>
      <c r="G237" s="19"/>
      <c r="H237" s="20">
        <f>SUM(H224:H236)</f>
        <v>31155199</v>
      </c>
      <c r="I237" s="21"/>
      <c r="J237" s="22"/>
      <c r="K237" s="33"/>
      <c r="L237" s="23"/>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c r="CA237" s="25"/>
      <c r="CB237" s="25"/>
      <c r="CC237" s="25"/>
      <c r="CD237" s="25"/>
      <c r="CE237" s="25"/>
      <c r="CF237" s="25"/>
      <c r="CG237" s="25"/>
      <c r="CH237" s="25"/>
      <c r="CI237" s="25"/>
      <c r="CJ237" s="25"/>
      <c r="CK237" s="25"/>
      <c r="CL237" s="25"/>
      <c r="CM237" s="25"/>
      <c r="CN237" s="25"/>
      <c r="CO237" s="25"/>
      <c r="CP237" s="25"/>
      <c r="CQ237" s="25"/>
      <c r="CR237" s="25"/>
      <c r="CS237" s="25"/>
      <c r="CT237" s="25"/>
      <c r="CU237" s="25"/>
      <c r="CV237" s="25"/>
      <c r="CW237" s="25"/>
      <c r="CX237" s="25"/>
      <c r="CY237" s="25"/>
      <c r="CZ237" s="25"/>
      <c r="DA237" s="25"/>
      <c r="DB237" s="25"/>
      <c r="DC237" s="25"/>
      <c r="DD237" s="25"/>
      <c r="DE237" s="25"/>
      <c r="DF237" s="25"/>
      <c r="DG237" s="25"/>
      <c r="DH237" s="25"/>
      <c r="DI237" s="25"/>
      <c r="DJ237" s="25"/>
    </row>
    <row r="238" spans="1:114" s="34" customFormat="1" ht="15.75" customHeight="1">
      <c r="A238" s="170">
        <v>2002</v>
      </c>
      <c r="B238" s="171"/>
      <c r="C238" s="171"/>
      <c r="D238" s="171"/>
      <c r="E238" s="171"/>
      <c r="F238" s="171"/>
      <c r="G238" s="171"/>
      <c r="H238" s="171"/>
      <c r="I238" s="172"/>
      <c r="J238" s="22">
        <f aca="true" t="shared" si="39" ref="J238:J248">+F238</f>
        <v>0</v>
      </c>
      <c r="K238" s="22">
        <f aca="true" t="shared" si="40" ref="K238:K248">+H238</f>
        <v>0</v>
      </c>
      <c r="L238" s="23"/>
      <c r="M238" s="23"/>
      <c r="N238" s="23"/>
      <c r="O238" s="23"/>
      <c r="P238" s="23"/>
      <c r="Q238" s="23"/>
      <c r="R238" s="23"/>
      <c r="S238" s="23"/>
      <c r="T238" s="23"/>
      <c r="U238" s="23"/>
      <c r="V238" s="24"/>
      <c r="W238" s="24"/>
      <c r="X238" s="24"/>
      <c r="Y238" s="24"/>
      <c r="Z238" s="24"/>
      <c r="AA238" s="24"/>
      <c r="AB238" s="24"/>
      <c r="AC238" s="24"/>
      <c r="AD238" s="24"/>
      <c r="AE238" s="24"/>
      <c r="AF238" s="24"/>
      <c r="AG238" s="24"/>
      <c r="AH238" s="24"/>
      <c r="AI238" s="24"/>
      <c r="AJ238" s="24"/>
      <c r="AK238" s="24"/>
      <c r="AL238" s="24"/>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c r="CA238" s="25"/>
      <c r="CB238" s="25"/>
      <c r="CC238" s="25"/>
      <c r="CD238" s="25"/>
      <c r="CE238" s="25"/>
      <c r="CF238" s="25"/>
      <c r="CG238" s="25"/>
      <c r="CH238" s="25"/>
      <c r="CI238" s="25"/>
      <c r="CJ238" s="25"/>
      <c r="CK238" s="25"/>
      <c r="CL238" s="25"/>
      <c r="CM238" s="25"/>
      <c r="CN238" s="25"/>
      <c r="CO238" s="25"/>
      <c r="CP238" s="25"/>
      <c r="CQ238" s="25"/>
      <c r="CR238" s="25"/>
      <c r="CS238" s="25"/>
      <c r="CT238" s="25"/>
      <c r="CU238" s="25"/>
      <c r="CV238" s="25"/>
      <c r="CW238" s="25"/>
      <c r="CX238" s="25"/>
      <c r="CY238" s="25"/>
      <c r="CZ238" s="25"/>
      <c r="DA238" s="25"/>
      <c r="DB238" s="25"/>
      <c r="DC238" s="25"/>
      <c r="DD238" s="25"/>
      <c r="DE238" s="25"/>
      <c r="DF238" s="25"/>
      <c r="DG238" s="25"/>
      <c r="DH238" s="25"/>
      <c r="DI238" s="25"/>
      <c r="DJ238" s="25"/>
    </row>
    <row r="239" spans="1:38" s="25" customFormat="1" ht="15.75" customHeight="1">
      <c r="A239" s="109">
        <f>+A236+1</f>
        <v>205</v>
      </c>
      <c r="B239" s="87">
        <v>1</v>
      </c>
      <c r="C239" s="88" t="s">
        <v>174</v>
      </c>
      <c r="D239" s="89" t="s">
        <v>189</v>
      </c>
      <c r="E239" s="88" t="s">
        <v>10</v>
      </c>
      <c r="F239" s="90">
        <v>318000</v>
      </c>
      <c r="G239" s="91"/>
      <c r="H239" s="92"/>
      <c r="I239" s="93"/>
      <c r="J239" s="22">
        <f t="shared" si="39"/>
        <v>318000</v>
      </c>
      <c r="K239" s="22">
        <f t="shared" si="40"/>
        <v>0</v>
      </c>
      <c r="L239" s="23"/>
      <c r="M239" s="23"/>
      <c r="N239" s="23"/>
      <c r="O239" s="23"/>
      <c r="P239" s="23"/>
      <c r="Q239" s="23"/>
      <c r="R239" s="23"/>
      <c r="S239" s="23"/>
      <c r="T239" s="23"/>
      <c r="U239" s="23"/>
      <c r="V239" s="24"/>
      <c r="W239" s="24"/>
      <c r="X239" s="24"/>
      <c r="Y239" s="24"/>
      <c r="Z239" s="24"/>
      <c r="AA239" s="24"/>
      <c r="AB239" s="24"/>
      <c r="AC239" s="24"/>
      <c r="AD239" s="24"/>
      <c r="AE239" s="24"/>
      <c r="AF239" s="24"/>
      <c r="AG239" s="24"/>
      <c r="AH239" s="24"/>
      <c r="AI239" s="24"/>
      <c r="AJ239" s="24"/>
      <c r="AK239" s="24"/>
      <c r="AL239" s="24"/>
    </row>
    <row r="240" spans="1:115" s="56" customFormat="1" ht="15.75" customHeight="1">
      <c r="A240" s="109">
        <f aca="true" t="shared" si="41" ref="A240:B248">+A239+1</f>
        <v>206</v>
      </c>
      <c r="B240" s="87">
        <f t="shared" si="41"/>
        <v>2</v>
      </c>
      <c r="C240" s="88" t="s">
        <v>175</v>
      </c>
      <c r="D240" s="89" t="s">
        <v>176</v>
      </c>
      <c r="E240" s="88" t="s">
        <v>10</v>
      </c>
      <c r="F240" s="90">
        <v>193210.09</v>
      </c>
      <c r="G240" s="91"/>
      <c r="H240" s="92"/>
      <c r="I240" s="93"/>
      <c r="J240" s="22">
        <f t="shared" si="39"/>
        <v>193210.09</v>
      </c>
      <c r="K240" s="22">
        <f t="shared" si="40"/>
        <v>0</v>
      </c>
      <c r="L240" s="23"/>
      <c r="M240" s="23"/>
      <c r="N240" s="23"/>
      <c r="O240" s="23"/>
      <c r="P240" s="23"/>
      <c r="Q240" s="23"/>
      <c r="R240" s="23"/>
      <c r="S240" s="23"/>
      <c r="T240" s="23"/>
      <c r="U240" s="23"/>
      <c r="V240" s="24"/>
      <c r="W240" s="24"/>
      <c r="X240" s="24"/>
      <c r="Y240" s="24"/>
      <c r="Z240" s="24"/>
      <c r="AA240" s="24"/>
      <c r="AB240" s="24"/>
      <c r="AC240" s="24"/>
      <c r="AD240" s="24"/>
      <c r="AE240" s="24"/>
      <c r="AF240" s="24"/>
      <c r="AG240" s="24"/>
      <c r="AH240" s="24"/>
      <c r="AI240" s="24"/>
      <c r="AJ240" s="24"/>
      <c r="AK240" s="24"/>
      <c r="AL240" s="24"/>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c r="CA240" s="25"/>
      <c r="CB240" s="25"/>
      <c r="CC240" s="25"/>
      <c r="CD240" s="25"/>
      <c r="CE240" s="25"/>
      <c r="CF240" s="25"/>
      <c r="CG240" s="25"/>
      <c r="CH240" s="25"/>
      <c r="CI240" s="25"/>
      <c r="CJ240" s="25"/>
      <c r="CK240" s="25"/>
      <c r="CL240" s="25"/>
      <c r="CM240" s="25"/>
      <c r="CN240" s="25"/>
      <c r="CO240" s="25"/>
      <c r="CP240" s="25"/>
      <c r="CQ240" s="25"/>
      <c r="CR240" s="25"/>
      <c r="CS240" s="25"/>
      <c r="CT240" s="25"/>
      <c r="CU240" s="25"/>
      <c r="CV240" s="25"/>
      <c r="CW240" s="25"/>
      <c r="CX240" s="25"/>
      <c r="CY240" s="25"/>
      <c r="CZ240" s="25"/>
      <c r="DA240" s="25"/>
      <c r="DB240" s="25"/>
      <c r="DC240" s="25"/>
      <c r="DD240" s="25"/>
      <c r="DE240" s="25"/>
      <c r="DF240" s="25"/>
      <c r="DG240" s="25"/>
      <c r="DH240" s="25"/>
      <c r="DI240" s="25"/>
      <c r="DJ240" s="25"/>
      <c r="DK240" s="55"/>
    </row>
    <row r="241" spans="1:38" s="25" customFormat="1" ht="15.75" customHeight="1">
      <c r="A241" s="109">
        <f t="shared" si="41"/>
        <v>207</v>
      </c>
      <c r="B241" s="87">
        <f t="shared" si="41"/>
        <v>3</v>
      </c>
      <c r="C241" s="88" t="s">
        <v>173</v>
      </c>
      <c r="D241" s="89" t="s">
        <v>170</v>
      </c>
      <c r="E241" s="88" t="s">
        <v>171</v>
      </c>
      <c r="F241" s="90">
        <f>1439037/3.45</f>
        <v>417112.17391304346</v>
      </c>
      <c r="G241" s="91"/>
      <c r="H241" s="92"/>
      <c r="I241" s="93"/>
      <c r="J241" s="22">
        <f t="shared" si="39"/>
        <v>417112.17391304346</v>
      </c>
      <c r="K241" s="22">
        <f t="shared" si="40"/>
        <v>0</v>
      </c>
      <c r="L241" s="23"/>
      <c r="M241" s="23"/>
      <c r="N241" s="23"/>
      <c r="O241" s="23"/>
      <c r="P241" s="23"/>
      <c r="Q241" s="23"/>
      <c r="R241" s="23"/>
      <c r="S241" s="23"/>
      <c r="T241" s="23"/>
      <c r="U241" s="23"/>
      <c r="V241" s="24"/>
      <c r="W241" s="24"/>
      <c r="X241" s="24"/>
      <c r="Y241" s="24"/>
      <c r="Z241" s="24"/>
      <c r="AA241" s="24"/>
      <c r="AB241" s="24"/>
      <c r="AC241" s="24"/>
      <c r="AD241" s="24"/>
      <c r="AE241" s="24"/>
      <c r="AF241" s="24"/>
      <c r="AG241" s="24"/>
      <c r="AH241" s="24"/>
      <c r="AI241" s="24"/>
      <c r="AJ241" s="24"/>
      <c r="AK241" s="24"/>
      <c r="AL241" s="24"/>
    </row>
    <row r="242" spans="1:38" s="25" customFormat="1" ht="15.75" customHeight="1">
      <c r="A242" s="109">
        <f t="shared" si="41"/>
        <v>208</v>
      </c>
      <c r="B242" s="87">
        <f t="shared" si="41"/>
        <v>4</v>
      </c>
      <c r="C242" s="88" t="s">
        <v>187</v>
      </c>
      <c r="D242" s="89" t="s">
        <v>188</v>
      </c>
      <c r="E242" s="88" t="s">
        <v>10</v>
      </c>
      <c r="F242" s="90">
        <v>170000</v>
      </c>
      <c r="G242" s="91"/>
      <c r="H242" s="92"/>
      <c r="I242" s="93"/>
      <c r="J242" s="22">
        <f t="shared" si="39"/>
        <v>170000</v>
      </c>
      <c r="K242" s="22">
        <f t="shared" si="40"/>
        <v>0</v>
      </c>
      <c r="L242" s="23"/>
      <c r="M242" s="23"/>
      <c r="N242" s="23"/>
      <c r="O242" s="23"/>
      <c r="P242" s="23"/>
      <c r="Q242" s="23"/>
      <c r="R242" s="23"/>
      <c r="S242" s="23"/>
      <c r="T242" s="23"/>
      <c r="U242" s="23"/>
      <c r="V242" s="24"/>
      <c r="W242" s="24"/>
      <c r="X242" s="24"/>
      <c r="Y242" s="24"/>
      <c r="Z242" s="24"/>
      <c r="AA242" s="24"/>
      <c r="AB242" s="24"/>
      <c r="AC242" s="24"/>
      <c r="AD242" s="24"/>
      <c r="AE242" s="24"/>
      <c r="AF242" s="24"/>
      <c r="AG242" s="24"/>
      <c r="AH242" s="24"/>
      <c r="AI242" s="24"/>
      <c r="AJ242" s="24"/>
      <c r="AK242" s="24"/>
      <c r="AL242" s="24"/>
    </row>
    <row r="243" spans="1:38" s="25" customFormat="1" ht="15.75" customHeight="1">
      <c r="A243" s="109">
        <f t="shared" si="41"/>
        <v>209</v>
      </c>
      <c r="B243" s="87">
        <f t="shared" si="41"/>
        <v>5</v>
      </c>
      <c r="C243" s="88" t="s">
        <v>177</v>
      </c>
      <c r="D243" s="89" t="s">
        <v>178</v>
      </c>
      <c r="E243" s="88" t="s">
        <v>428</v>
      </c>
      <c r="F243" s="90">
        <f>83600000/3.46</f>
        <v>24161849.710982658</v>
      </c>
      <c r="G243" s="91"/>
      <c r="H243" s="92"/>
      <c r="I243" s="93"/>
      <c r="J243" s="22">
        <f t="shared" si="39"/>
        <v>24161849.710982658</v>
      </c>
      <c r="K243" s="22">
        <f t="shared" si="40"/>
        <v>0</v>
      </c>
      <c r="L243" s="23"/>
      <c r="M243" s="23"/>
      <c r="N243" s="23"/>
      <c r="O243" s="23"/>
      <c r="P243" s="23"/>
      <c r="Q243" s="23"/>
      <c r="R243" s="23"/>
      <c r="S243" s="23"/>
      <c r="T243" s="23"/>
      <c r="U243" s="23"/>
      <c r="V243" s="24"/>
      <c r="W243" s="24"/>
      <c r="X243" s="24"/>
      <c r="Y243" s="24"/>
      <c r="Z243" s="24"/>
      <c r="AA243" s="24"/>
      <c r="AB243" s="24"/>
      <c r="AC243" s="24"/>
      <c r="AD243" s="24"/>
      <c r="AE243" s="24"/>
      <c r="AF243" s="24"/>
      <c r="AG243" s="24"/>
      <c r="AH243" s="24"/>
      <c r="AI243" s="24"/>
      <c r="AJ243" s="24"/>
      <c r="AK243" s="24"/>
      <c r="AL243" s="24"/>
    </row>
    <row r="244" spans="1:38" s="25" customFormat="1" ht="15.75" customHeight="1">
      <c r="A244" s="109">
        <f t="shared" si="41"/>
        <v>210</v>
      </c>
      <c r="B244" s="87">
        <f t="shared" si="41"/>
        <v>6</v>
      </c>
      <c r="C244" s="88" t="s">
        <v>181</v>
      </c>
      <c r="D244" s="89" t="s">
        <v>675</v>
      </c>
      <c r="E244" s="88" t="s">
        <v>427</v>
      </c>
      <c r="F244" s="90">
        <v>750000</v>
      </c>
      <c r="G244" s="91"/>
      <c r="H244" s="92"/>
      <c r="I244" s="93"/>
      <c r="J244" s="22">
        <f t="shared" si="39"/>
        <v>750000</v>
      </c>
      <c r="K244" s="22">
        <f t="shared" si="40"/>
        <v>0</v>
      </c>
      <c r="L244" s="23"/>
      <c r="M244" s="23"/>
      <c r="N244" s="23"/>
      <c r="O244" s="23"/>
      <c r="P244" s="23"/>
      <c r="Q244" s="23"/>
      <c r="R244" s="23"/>
      <c r="S244" s="23"/>
      <c r="T244" s="23"/>
      <c r="U244" s="23"/>
      <c r="V244" s="24"/>
      <c r="W244" s="24"/>
      <c r="X244" s="24"/>
      <c r="Y244" s="24"/>
      <c r="Z244" s="24"/>
      <c r="AA244" s="24"/>
      <c r="AB244" s="24"/>
      <c r="AC244" s="24"/>
      <c r="AD244" s="24"/>
      <c r="AE244" s="24"/>
      <c r="AF244" s="24"/>
      <c r="AG244" s="24"/>
      <c r="AH244" s="24"/>
      <c r="AI244" s="24"/>
      <c r="AJ244" s="24"/>
      <c r="AK244" s="24"/>
      <c r="AL244" s="24"/>
    </row>
    <row r="245" spans="1:38" s="25" customFormat="1" ht="15.75" customHeight="1">
      <c r="A245" s="109">
        <f t="shared" si="41"/>
        <v>211</v>
      </c>
      <c r="B245" s="87">
        <f t="shared" si="41"/>
        <v>7</v>
      </c>
      <c r="C245" s="88" t="s">
        <v>185</v>
      </c>
      <c r="D245" s="89" t="s">
        <v>191</v>
      </c>
      <c r="E245" s="88" t="s">
        <v>10</v>
      </c>
      <c r="F245" s="90">
        <f>200000+207000</f>
        <v>407000</v>
      </c>
      <c r="G245" s="91"/>
      <c r="H245" s="92"/>
      <c r="I245" s="93"/>
      <c r="J245" s="22">
        <f t="shared" si="39"/>
        <v>407000</v>
      </c>
      <c r="K245" s="22">
        <f t="shared" si="40"/>
        <v>0</v>
      </c>
      <c r="L245" s="23"/>
      <c r="M245" s="23"/>
      <c r="N245" s="23"/>
      <c r="O245" s="23"/>
      <c r="P245" s="23"/>
      <c r="Q245" s="23"/>
      <c r="R245" s="23"/>
      <c r="S245" s="23"/>
      <c r="T245" s="23"/>
      <c r="U245" s="23"/>
      <c r="V245" s="24"/>
      <c r="W245" s="24"/>
      <c r="X245" s="24"/>
      <c r="Y245" s="24"/>
      <c r="Z245" s="24"/>
      <c r="AA245" s="24"/>
      <c r="AB245" s="24"/>
      <c r="AC245" s="24"/>
      <c r="AD245" s="24"/>
      <c r="AE245" s="24"/>
      <c r="AF245" s="24"/>
      <c r="AG245" s="24"/>
      <c r="AH245" s="24"/>
      <c r="AI245" s="24"/>
      <c r="AJ245" s="24"/>
      <c r="AK245" s="24"/>
      <c r="AL245" s="24"/>
    </row>
    <row r="246" spans="1:114" s="57" customFormat="1" ht="15.75" customHeight="1">
      <c r="A246" s="109">
        <f t="shared" si="41"/>
        <v>212</v>
      </c>
      <c r="B246" s="87">
        <f t="shared" si="41"/>
        <v>8</v>
      </c>
      <c r="C246" s="88" t="s">
        <v>182</v>
      </c>
      <c r="D246" s="89" t="s">
        <v>183</v>
      </c>
      <c r="E246" s="88" t="s">
        <v>428</v>
      </c>
      <c r="F246" s="90">
        <v>69713868</v>
      </c>
      <c r="G246" s="91"/>
      <c r="H246" s="92"/>
      <c r="I246" s="93"/>
      <c r="J246" s="22">
        <f t="shared" si="39"/>
        <v>69713868</v>
      </c>
      <c r="K246" s="22">
        <f t="shared" si="40"/>
        <v>0</v>
      </c>
      <c r="L246" s="23"/>
      <c r="M246" s="23"/>
      <c r="N246" s="23"/>
      <c r="O246" s="23"/>
      <c r="P246" s="23"/>
      <c r="Q246" s="23"/>
      <c r="R246" s="23"/>
      <c r="S246" s="23"/>
      <c r="T246" s="23"/>
      <c r="U246" s="23"/>
      <c r="V246" s="24"/>
      <c r="W246" s="24"/>
      <c r="X246" s="24"/>
      <c r="Y246" s="24"/>
      <c r="Z246" s="24"/>
      <c r="AA246" s="24"/>
      <c r="AB246" s="24"/>
      <c r="AC246" s="24"/>
      <c r="AD246" s="24"/>
      <c r="AE246" s="24"/>
      <c r="AF246" s="24"/>
      <c r="AG246" s="24"/>
      <c r="AH246" s="24"/>
      <c r="AI246" s="24"/>
      <c r="AJ246" s="24"/>
      <c r="AK246" s="24"/>
      <c r="AL246" s="24"/>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c r="CA246" s="25"/>
      <c r="CB246" s="25"/>
      <c r="CC246" s="25"/>
      <c r="CD246" s="25"/>
      <c r="CE246" s="25"/>
      <c r="CF246" s="25"/>
      <c r="CG246" s="25"/>
      <c r="CH246" s="25"/>
      <c r="CI246" s="25"/>
      <c r="CJ246" s="25"/>
      <c r="CK246" s="25"/>
      <c r="CL246" s="25"/>
      <c r="CM246" s="25"/>
      <c r="CN246" s="25"/>
      <c r="CO246" s="25"/>
      <c r="CP246" s="25"/>
      <c r="CQ246" s="25"/>
      <c r="CR246" s="25"/>
      <c r="CS246" s="25"/>
      <c r="CT246" s="25"/>
      <c r="CU246" s="25"/>
      <c r="CV246" s="25"/>
      <c r="CW246" s="25"/>
      <c r="CX246" s="25"/>
      <c r="CY246" s="25"/>
      <c r="CZ246" s="25"/>
      <c r="DA246" s="25"/>
      <c r="DB246" s="25"/>
      <c r="DC246" s="25"/>
      <c r="DD246" s="25"/>
      <c r="DE246" s="25"/>
      <c r="DF246" s="25"/>
      <c r="DG246" s="25"/>
      <c r="DH246" s="25"/>
      <c r="DI246" s="25"/>
      <c r="DJ246" s="25"/>
    </row>
    <row r="247" spans="1:38" s="25" customFormat="1" ht="15.75" customHeight="1">
      <c r="A247" s="109">
        <f t="shared" si="41"/>
        <v>213</v>
      </c>
      <c r="B247" s="87">
        <f t="shared" si="41"/>
        <v>9</v>
      </c>
      <c r="C247" s="88" t="s">
        <v>194</v>
      </c>
      <c r="D247" s="89" t="s">
        <v>195</v>
      </c>
      <c r="E247" s="88" t="s">
        <v>10</v>
      </c>
      <c r="F247" s="90">
        <f>72000+135000+23000+18000</f>
        <v>248000</v>
      </c>
      <c r="G247" s="91"/>
      <c r="H247" s="92"/>
      <c r="I247" s="93"/>
      <c r="J247" s="22">
        <f t="shared" si="39"/>
        <v>248000</v>
      </c>
      <c r="K247" s="22">
        <f t="shared" si="40"/>
        <v>0</v>
      </c>
      <c r="L247" s="23"/>
      <c r="M247" s="23"/>
      <c r="N247" s="23"/>
      <c r="O247" s="23"/>
      <c r="P247" s="23"/>
      <c r="Q247" s="23"/>
      <c r="R247" s="23"/>
      <c r="S247" s="23"/>
      <c r="T247" s="23"/>
      <c r="U247" s="23"/>
      <c r="V247" s="24"/>
      <c r="W247" s="24"/>
      <c r="X247" s="24"/>
      <c r="Y247" s="24"/>
      <c r="Z247" s="24"/>
      <c r="AA247" s="24"/>
      <c r="AB247" s="24"/>
      <c r="AC247" s="24"/>
      <c r="AD247" s="24"/>
      <c r="AE247" s="24"/>
      <c r="AF247" s="24"/>
      <c r="AG247" s="24"/>
      <c r="AH247" s="24"/>
      <c r="AI247" s="24"/>
      <c r="AJ247" s="24"/>
      <c r="AK247" s="24"/>
      <c r="AL247" s="24"/>
    </row>
    <row r="248" spans="1:114" s="26" customFormat="1" ht="15.75" customHeight="1">
      <c r="A248" s="112">
        <f t="shared" si="41"/>
        <v>214</v>
      </c>
      <c r="B248" s="113">
        <f t="shared" si="41"/>
        <v>10</v>
      </c>
      <c r="C248" s="114" t="s">
        <v>196</v>
      </c>
      <c r="D248" s="115" t="s">
        <v>547</v>
      </c>
      <c r="E248" s="114" t="s">
        <v>427</v>
      </c>
      <c r="F248" s="116">
        <v>118474161.62</v>
      </c>
      <c r="G248" s="117" t="s">
        <v>548</v>
      </c>
      <c r="H248" s="118">
        <v>12113759</v>
      </c>
      <c r="I248" s="120" t="s">
        <v>549</v>
      </c>
      <c r="J248" s="22">
        <f t="shared" si="39"/>
        <v>118474161.62</v>
      </c>
      <c r="K248" s="22">
        <f t="shared" si="40"/>
        <v>12113759</v>
      </c>
      <c r="L248" s="23"/>
      <c r="M248" s="23"/>
      <c r="N248" s="23"/>
      <c r="O248" s="23"/>
      <c r="P248" s="23"/>
      <c r="Q248" s="23"/>
      <c r="R248" s="23"/>
      <c r="S248" s="23"/>
      <c r="T248" s="23"/>
      <c r="U248" s="23"/>
      <c r="V248" s="24"/>
      <c r="W248" s="24"/>
      <c r="X248" s="24"/>
      <c r="Y248" s="24"/>
      <c r="Z248" s="24"/>
      <c r="AA248" s="24"/>
      <c r="AB248" s="24"/>
      <c r="AC248" s="24"/>
      <c r="AD248" s="24"/>
      <c r="AE248" s="24"/>
      <c r="AF248" s="24"/>
      <c r="AG248" s="24"/>
      <c r="AH248" s="24"/>
      <c r="AI248" s="24"/>
      <c r="AJ248" s="24"/>
      <c r="AK248" s="24"/>
      <c r="AL248" s="24"/>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c r="CA248" s="25"/>
      <c r="CB248" s="25"/>
      <c r="CC248" s="25"/>
      <c r="CD248" s="25"/>
      <c r="CE248" s="25"/>
      <c r="CF248" s="25"/>
      <c r="CG248" s="25"/>
      <c r="CH248" s="25"/>
      <c r="CI248" s="25"/>
      <c r="CJ248" s="25"/>
      <c r="CK248" s="25"/>
      <c r="CL248" s="25"/>
      <c r="CM248" s="25"/>
      <c r="CN248" s="25"/>
      <c r="CO248" s="25"/>
      <c r="CP248" s="25"/>
      <c r="CQ248" s="25"/>
      <c r="CR248" s="25"/>
      <c r="CS248" s="25"/>
      <c r="CT248" s="25"/>
      <c r="CU248" s="25"/>
      <c r="CV248" s="25"/>
      <c r="CW248" s="25"/>
      <c r="CX248" s="25"/>
      <c r="CY248" s="25"/>
      <c r="CZ248" s="25"/>
      <c r="DA248" s="25"/>
      <c r="DB248" s="25"/>
      <c r="DC248" s="25"/>
      <c r="DD248" s="25"/>
      <c r="DE248" s="25"/>
      <c r="DF248" s="25"/>
      <c r="DG248" s="25"/>
      <c r="DH248" s="25"/>
      <c r="DI248" s="25"/>
      <c r="DJ248" s="25"/>
    </row>
    <row r="249" spans="1:114" s="26" customFormat="1" ht="15.75" customHeight="1">
      <c r="A249" s="167" t="s">
        <v>172</v>
      </c>
      <c r="B249" s="168"/>
      <c r="C249" s="168"/>
      <c r="D249" s="168"/>
      <c r="E249" s="18"/>
      <c r="F249" s="19">
        <f>SUM(F239:F248)</f>
        <v>214853201.59489572</v>
      </c>
      <c r="G249" s="19"/>
      <c r="H249" s="20">
        <f>SUM(H239:H248)</f>
        <v>12113759</v>
      </c>
      <c r="I249" s="21"/>
      <c r="J249" s="22"/>
      <c r="K249" s="33"/>
      <c r="L249" s="23"/>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c r="CA249" s="25"/>
      <c r="CB249" s="25"/>
      <c r="CC249" s="25"/>
      <c r="CD249" s="25"/>
      <c r="CE249" s="25"/>
      <c r="CF249" s="25"/>
      <c r="CG249" s="25"/>
      <c r="CH249" s="25"/>
      <c r="CI249" s="25"/>
      <c r="CJ249" s="25"/>
      <c r="CK249" s="25"/>
      <c r="CL249" s="25"/>
      <c r="CM249" s="25"/>
      <c r="CN249" s="25"/>
      <c r="CO249" s="25"/>
      <c r="CP249" s="25"/>
      <c r="CQ249" s="25"/>
      <c r="CR249" s="25"/>
      <c r="CS249" s="25"/>
      <c r="CT249" s="25"/>
      <c r="CU249" s="25"/>
      <c r="CV249" s="25"/>
      <c r="CW249" s="25"/>
      <c r="CX249" s="25"/>
      <c r="CY249" s="25"/>
      <c r="CZ249" s="25"/>
      <c r="DA249" s="25"/>
      <c r="DB249" s="25"/>
      <c r="DC249" s="25"/>
      <c r="DD249" s="25"/>
      <c r="DE249" s="25"/>
      <c r="DF249" s="25"/>
      <c r="DG249" s="25"/>
      <c r="DH249" s="25"/>
      <c r="DI249" s="25"/>
      <c r="DJ249" s="25"/>
    </row>
    <row r="250" spans="1:114" s="34" customFormat="1" ht="15.75" customHeight="1">
      <c r="A250" s="170">
        <v>2003</v>
      </c>
      <c r="B250" s="171"/>
      <c r="C250" s="171"/>
      <c r="D250" s="171"/>
      <c r="E250" s="171"/>
      <c r="F250" s="171"/>
      <c r="G250" s="171"/>
      <c r="H250" s="171"/>
      <c r="I250" s="172"/>
      <c r="J250" s="22">
        <f aca="true" t="shared" si="42" ref="J250:J258">+F250</f>
        <v>0</v>
      </c>
      <c r="K250" s="22">
        <f aca="true" t="shared" si="43" ref="K250:K258">+H250</f>
        <v>0</v>
      </c>
      <c r="L250" s="23"/>
      <c r="M250" s="23"/>
      <c r="N250" s="23"/>
      <c r="O250" s="23"/>
      <c r="P250" s="23"/>
      <c r="Q250" s="23"/>
      <c r="R250" s="23"/>
      <c r="S250" s="23"/>
      <c r="T250" s="23"/>
      <c r="U250" s="23"/>
      <c r="V250" s="24"/>
      <c r="W250" s="24"/>
      <c r="X250" s="24"/>
      <c r="Y250" s="24"/>
      <c r="Z250" s="24"/>
      <c r="AA250" s="24"/>
      <c r="AB250" s="24"/>
      <c r="AC250" s="24"/>
      <c r="AD250" s="24"/>
      <c r="AE250" s="24"/>
      <c r="AF250" s="24"/>
      <c r="AG250" s="24"/>
      <c r="AH250" s="24"/>
      <c r="AI250" s="24"/>
      <c r="AJ250" s="24"/>
      <c r="AK250" s="24"/>
      <c r="AL250" s="24"/>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c r="CA250" s="25"/>
      <c r="CB250" s="25"/>
      <c r="CC250" s="25"/>
      <c r="CD250" s="25"/>
      <c r="CE250" s="25"/>
      <c r="CF250" s="25"/>
      <c r="CG250" s="25"/>
      <c r="CH250" s="25"/>
      <c r="CI250" s="25"/>
      <c r="CJ250" s="25"/>
      <c r="CK250" s="25"/>
      <c r="CL250" s="25"/>
      <c r="CM250" s="25"/>
      <c r="CN250" s="25"/>
      <c r="CO250" s="25"/>
      <c r="CP250" s="25"/>
      <c r="CQ250" s="25"/>
      <c r="CR250" s="25"/>
      <c r="CS250" s="25"/>
      <c r="CT250" s="25"/>
      <c r="CU250" s="25"/>
      <c r="CV250" s="25"/>
      <c r="CW250" s="25"/>
      <c r="CX250" s="25"/>
      <c r="CY250" s="25"/>
      <c r="CZ250" s="25"/>
      <c r="DA250" s="25"/>
      <c r="DB250" s="25"/>
      <c r="DC250" s="25"/>
      <c r="DD250" s="25"/>
      <c r="DE250" s="25"/>
      <c r="DF250" s="25"/>
      <c r="DG250" s="25"/>
      <c r="DH250" s="25"/>
      <c r="DI250" s="25"/>
      <c r="DJ250" s="25"/>
    </row>
    <row r="251" spans="1:114" s="129" customFormat="1" ht="15.75" customHeight="1">
      <c r="A251" s="109">
        <f>+A248+1</f>
        <v>215</v>
      </c>
      <c r="B251" s="87">
        <v>1</v>
      </c>
      <c r="C251" s="88" t="s">
        <v>197</v>
      </c>
      <c r="D251" s="89" t="s">
        <v>198</v>
      </c>
      <c r="E251" s="88" t="s">
        <v>10</v>
      </c>
      <c r="F251" s="90">
        <f>637370.12/3.484</f>
        <v>182942.05510907003</v>
      </c>
      <c r="G251" s="91"/>
      <c r="H251" s="92"/>
      <c r="I251" s="93"/>
      <c r="J251" s="22">
        <f t="shared" si="42"/>
        <v>182942.05510907003</v>
      </c>
      <c r="K251" s="22">
        <f t="shared" si="43"/>
        <v>0</v>
      </c>
      <c r="L251" s="23"/>
      <c r="M251" s="23"/>
      <c r="N251" s="23"/>
      <c r="O251" s="23"/>
      <c r="P251" s="23"/>
      <c r="Q251" s="23"/>
      <c r="R251" s="23"/>
      <c r="S251" s="23"/>
      <c r="T251" s="23"/>
      <c r="U251" s="23"/>
      <c r="V251" s="24"/>
      <c r="W251" s="24"/>
      <c r="X251" s="24"/>
      <c r="Y251" s="24"/>
      <c r="Z251" s="24"/>
      <c r="AA251" s="24"/>
      <c r="AB251" s="24"/>
      <c r="AC251" s="24"/>
      <c r="AD251" s="24"/>
      <c r="AE251" s="24"/>
      <c r="AF251" s="24"/>
      <c r="AG251" s="24"/>
      <c r="AH251" s="24"/>
      <c r="AI251" s="24"/>
      <c r="AJ251" s="24"/>
      <c r="AK251" s="24"/>
      <c r="AL251" s="24"/>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c r="CA251" s="25"/>
      <c r="CB251" s="25"/>
      <c r="CC251" s="25"/>
      <c r="CD251" s="25"/>
      <c r="CE251" s="25"/>
      <c r="CF251" s="25"/>
      <c r="CG251" s="25"/>
      <c r="CH251" s="25"/>
      <c r="CI251" s="25"/>
      <c r="CJ251" s="25"/>
      <c r="CK251" s="25"/>
      <c r="CL251" s="25"/>
      <c r="CM251" s="25"/>
      <c r="CN251" s="25"/>
      <c r="CO251" s="25"/>
      <c r="CP251" s="25"/>
      <c r="CQ251" s="25"/>
      <c r="CR251" s="25"/>
      <c r="CS251" s="25"/>
      <c r="CT251" s="25"/>
      <c r="CU251" s="25"/>
      <c r="CV251" s="25"/>
      <c r="CW251" s="25"/>
      <c r="CX251" s="25"/>
      <c r="CY251" s="25"/>
      <c r="CZ251" s="25"/>
      <c r="DA251" s="25"/>
      <c r="DB251" s="25"/>
      <c r="DC251" s="25"/>
      <c r="DD251" s="25"/>
      <c r="DE251" s="25"/>
      <c r="DF251" s="25"/>
      <c r="DG251" s="25"/>
      <c r="DH251" s="25"/>
      <c r="DI251" s="25"/>
      <c r="DJ251" s="25"/>
    </row>
    <row r="252" spans="1:114" s="129" customFormat="1" ht="15.75" customHeight="1">
      <c r="A252" s="109">
        <f aca="true" t="shared" si="44" ref="A252:B258">+A251+1</f>
        <v>216</v>
      </c>
      <c r="B252" s="87">
        <f t="shared" si="44"/>
        <v>2</v>
      </c>
      <c r="C252" s="88" t="s">
        <v>199</v>
      </c>
      <c r="D252" s="89" t="s">
        <v>200</v>
      </c>
      <c r="E252" s="88" t="s">
        <v>427</v>
      </c>
      <c r="F252" s="90">
        <f>13000+26500+98500</f>
        <v>138000</v>
      </c>
      <c r="G252" s="91"/>
      <c r="H252" s="92"/>
      <c r="I252" s="93"/>
      <c r="J252" s="22">
        <f t="shared" si="42"/>
        <v>138000</v>
      </c>
      <c r="K252" s="22">
        <f t="shared" si="43"/>
        <v>0</v>
      </c>
      <c r="L252" s="23"/>
      <c r="M252" s="23"/>
      <c r="N252" s="23"/>
      <c r="O252" s="23"/>
      <c r="P252" s="23"/>
      <c r="Q252" s="23"/>
      <c r="R252" s="23"/>
      <c r="S252" s="23"/>
      <c r="T252" s="23"/>
      <c r="U252" s="23"/>
      <c r="V252" s="24"/>
      <c r="W252" s="24"/>
      <c r="X252" s="24"/>
      <c r="Y252" s="24"/>
      <c r="Z252" s="24"/>
      <c r="AA252" s="24"/>
      <c r="AB252" s="24"/>
      <c r="AC252" s="24"/>
      <c r="AD252" s="24"/>
      <c r="AE252" s="24"/>
      <c r="AF252" s="24"/>
      <c r="AG252" s="24"/>
      <c r="AH252" s="24"/>
      <c r="AI252" s="24"/>
      <c r="AJ252" s="24"/>
      <c r="AK252" s="24"/>
      <c r="AL252" s="24"/>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c r="CA252" s="25"/>
      <c r="CB252" s="25"/>
      <c r="CC252" s="25"/>
      <c r="CD252" s="25"/>
      <c r="CE252" s="25"/>
      <c r="CF252" s="25"/>
      <c r="CG252" s="25"/>
      <c r="CH252" s="25"/>
      <c r="CI252" s="25"/>
      <c r="CJ252" s="25"/>
      <c r="CK252" s="25"/>
      <c r="CL252" s="25"/>
      <c r="CM252" s="25"/>
      <c r="CN252" s="25"/>
      <c r="CO252" s="25"/>
      <c r="CP252" s="25"/>
      <c r="CQ252" s="25"/>
      <c r="CR252" s="25"/>
      <c r="CS252" s="25"/>
      <c r="CT252" s="25"/>
      <c r="CU252" s="25"/>
      <c r="CV252" s="25"/>
      <c r="CW252" s="25"/>
      <c r="CX252" s="25"/>
      <c r="CY252" s="25"/>
      <c r="CZ252" s="25"/>
      <c r="DA252" s="25"/>
      <c r="DB252" s="25"/>
      <c r="DC252" s="25"/>
      <c r="DD252" s="25"/>
      <c r="DE252" s="25"/>
      <c r="DF252" s="25"/>
      <c r="DG252" s="25"/>
      <c r="DH252" s="25"/>
      <c r="DI252" s="25"/>
      <c r="DJ252" s="25"/>
    </row>
    <row r="253" spans="1:114" s="129" customFormat="1" ht="15.75" customHeight="1">
      <c r="A253" s="109">
        <f t="shared" si="44"/>
        <v>217</v>
      </c>
      <c r="B253" s="87">
        <f t="shared" si="44"/>
        <v>3</v>
      </c>
      <c r="C253" s="88" t="s">
        <v>201</v>
      </c>
      <c r="D253" s="89" t="s">
        <v>676</v>
      </c>
      <c r="E253" s="88" t="s">
        <v>424</v>
      </c>
      <c r="F253" s="90"/>
      <c r="G253" s="91"/>
      <c r="H253" s="92">
        <v>150000000</v>
      </c>
      <c r="I253" s="93"/>
      <c r="J253" s="22">
        <f t="shared" si="42"/>
        <v>0</v>
      </c>
      <c r="K253" s="22">
        <f t="shared" si="43"/>
        <v>150000000</v>
      </c>
      <c r="L253" s="23"/>
      <c r="M253" s="23"/>
      <c r="N253" s="23"/>
      <c r="O253" s="23"/>
      <c r="P253" s="23"/>
      <c r="Q253" s="23"/>
      <c r="R253" s="23"/>
      <c r="S253" s="23"/>
      <c r="T253" s="23"/>
      <c r="U253" s="23"/>
      <c r="V253" s="24"/>
      <c r="W253" s="24"/>
      <c r="X253" s="24"/>
      <c r="Y253" s="24"/>
      <c r="Z253" s="24"/>
      <c r="AA253" s="24"/>
      <c r="AB253" s="24"/>
      <c r="AC253" s="24"/>
      <c r="AD253" s="24"/>
      <c r="AE253" s="24"/>
      <c r="AF253" s="24"/>
      <c r="AG253" s="24"/>
      <c r="AH253" s="24"/>
      <c r="AI253" s="24"/>
      <c r="AJ253" s="24"/>
      <c r="AK253" s="24"/>
      <c r="AL253" s="24"/>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c r="CA253" s="25"/>
      <c r="CB253" s="25"/>
      <c r="CC253" s="25"/>
      <c r="CD253" s="25"/>
      <c r="CE253" s="25"/>
      <c r="CF253" s="25"/>
      <c r="CG253" s="25"/>
      <c r="CH253" s="25"/>
      <c r="CI253" s="25"/>
      <c r="CJ253" s="25"/>
      <c r="CK253" s="25"/>
      <c r="CL253" s="25"/>
      <c r="CM253" s="25"/>
      <c r="CN253" s="25"/>
      <c r="CO253" s="25"/>
      <c r="CP253" s="25"/>
      <c r="CQ253" s="25"/>
      <c r="CR253" s="25"/>
      <c r="CS253" s="25"/>
      <c r="CT253" s="25"/>
      <c r="CU253" s="25"/>
      <c r="CV253" s="25"/>
      <c r="CW253" s="25"/>
      <c r="CX253" s="25"/>
      <c r="CY253" s="25"/>
      <c r="CZ253" s="25"/>
      <c r="DA253" s="25"/>
      <c r="DB253" s="25"/>
      <c r="DC253" s="25"/>
      <c r="DD253" s="25"/>
      <c r="DE253" s="25"/>
      <c r="DF253" s="25"/>
      <c r="DG253" s="25"/>
      <c r="DH253" s="25"/>
      <c r="DI253" s="25"/>
      <c r="DJ253" s="25"/>
    </row>
    <row r="254" spans="1:114" s="129" customFormat="1" ht="15.75" customHeight="1">
      <c r="A254" s="109">
        <f t="shared" si="44"/>
        <v>218</v>
      </c>
      <c r="B254" s="87">
        <f t="shared" si="44"/>
        <v>4</v>
      </c>
      <c r="C254" s="88" t="s">
        <v>202</v>
      </c>
      <c r="D254" s="89" t="s">
        <v>677</v>
      </c>
      <c r="E254" s="88" t="s">
        <v>427</v>
      </c>
      <c r="F254" s="90">
        <v>1000000</v>
      </c>
      <c r="G254" s="91"/>
      <c r="H254" s="92">
        <v>3000000</v>
      </c>
      <c r="I254" s="93" t="s">
        <v>498</v>
      </c>
      <c r="J254" s="22">
        <f t="shared" si="42"/>
        <v>1000000</v>
      </c>
      <c r="K254" s="22">
        <f t="shared" si="43"/>
        <v>3000000</v>
      </c>
      <c r="L254" s="23"/>
      <c r="M254" s="23"/>
      <c r="N254" s="23"/>
      <c r="O254" s="23"/>
      <c r="P254" s="23"/>
      <c r="Q254" s="23"/>
      <c r="R254" s="23"/>
      <c r="S254" s="23"/>
      <c r="T254" s="23"/>
      <c r="U254" s="23"/>
      <c r="V254" s="24"/>
      <c r="W254" s="24"/>
      <c r="X254" s="24"/>
      <c r="Y254" s="24"/>
      <c r="Z254" s="24"/>
      <c r="AA254" s="24"/>
      <c r="AB254" s="24"/>
      <c r="AC254" s="24"/>
      <c r="AD254" s="24"/>
      <c r="AE254" s="24"/>
      <c r="AF254" s="24"/>
      <c r="AG254" s="24"/>
      <c r="AH254" s="24"/>
      <c r="AI254" s="24"/>
      <c r="AJ254" s="24"/>
      <c r="AK254" s="24"/>
      <c r="AL254" s="24"/>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c r="CA254" s="25"/>
      <c r="CB254" s="25"/>
      <c r="CC254" s="25"/>
      <c r="CD254" s="25"/>
      <c r="CE254" s="25"/>
      <c r="CF254" s="25"/>
      <c r="CG254" s="25"/>
      <c r="CH254" s="25"/>
      <c r="CI254" s="25"/>
      <c r="CJ254" s="25"/>
      <c r="CK254" s="25"/>
      <c r="CL254" s="25"/>
      <c r="CM254" s="25"/>
      <c r="CN254" s="25"/>
      <c r="CO254" s="25"/>
      <c r="CP254" s="25"/>
      <c r="CQ254" s="25"/>
      <c r="CR254" s="25"/>
      <c r="CS254" s="25"/>
      <c r="CT254" s="25"/>
      <c r="CU254" s="25"/>
      <c r="CV254" s="25"/>
      <c r="CW254" s="25"/>
      <c r="CX254" s="25"/>
      <c r="CY254" s="25"/>
      <c r="CZ254" s="25"/>
      <c r="DA254" s="25"/>
      <c r="DB254" s="25"/>
      <c r="DC254" s="25"/>
      <c r="DD254" s="25"/>
      <c r="DE254" s="25"/>
      <c r="DF254" s="25"/>
      <c r="DG254" s="25"/>
      <c r="DH254" s="25"/>
      <c r="DI254" s="25"/>
      <c r="DJ254" s="25"/>
    </row>
    <row r="255" spans="1:114" s="129" customFormat="1" ht="15.75" customHeight="1">
      <c r="A255" s="109">
        <f t="shared" si="44"/>
        <v>219</v>
      </c>
      <c r="B255" s="87">
        <f t="shared" si="44"/>
        <v>5</v>
      </c>
      <c r="C255" s="88" t="s">
        <v>203</v>
      </c>
      <c r="D255" s="89" t="s">
        <v>206</v>
      </c>
      <c r="E255" s="88" t="s">
        <v>3</v>
      </c>
      <c r="F255" s="90">
        <v>37000</v>
      </c>
      <c r="G255" s="91"/>
      <c r="H255" s="92">
        <v>293000</v>
      </c>
      <c r="I255" s="93" t="s">
        <v>498</v>
      </c>
      <c r="J255" s="22">
        <f t="shared" si="42"/>
        <v>37000</v>
      </c>
      <c r="K255" s="22">
        <f t="shared" si="43"/>
        <v>293000</v>
      </c>
      <c r="L255" s="23"/>
      <c r="M255" s="23"/>
      <c r="N255" s="23"/>
      <c r="O255" s="23"/>
      <c r="P255" s="23"/>
      <c r="Q255" s="23"/>
      <c r="R255" s="23"/>
      <c r="S255" s="23"/>
      <c r="T255" s="23"/>
      <c r="U255" s="23"/>
      <c r="V255" s="24"/>
      <c r="W255" s="24"/>
      <c r="X255" s="24"/>
      <c r="Y255" s="24"/>
      <c r="Z255" s="24"/>
      <c r="AA255" s="24"/>
      <c r="AB255" s="24"/>
      <c r="AC255" s="24"/>
      <c r="AD255" s="24"/>
      <c r="AE255" s="24"/>
      <c r="AF255" s="24"/>
      <c r="AG255" s="24"/>
      <c r="AH255" s="24"/>
      <c r="AI255" s="24"/>
      <c r="AJ255" s="24"/>
      <c r="AK255" s="24"/>
      <c r="AL255" s="24"/>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c r="CA255" s="25"/>
      <c r="CB255" s="25"/>
      <c r="CC255" s="25"/>
      <c r="CD255" s="25"/>
      <c r="CE255" s="25"/>
      <c r="CF255" s="25"/>
      <c r="CG255" s="25"/>
      <c r="CH255" s="25"/>
      <c r="CI255" s="25"/>
      <c r="CJ255" s="25"/>
      <c r="CK255" s="25"/>
      <c r="CL255" s="25"/>
      <c r="CM255" s="25"/>
      <c r="CN255" s="25"/>
      <c r="CO255" s="25"/>
      <c r="CP255" s="25"/>
      <c r="CQ255" s="25"/>
      <c r="CR255" s="25"/>
      <c r="CS255" s="25"/>
      <c r="CT255" s="25"/>
      <c r="CU255" s="25"/>
      <c r="CV255" s="25"/>
      <c r="CW255" s="25"/>
      <c r="CX255" s="25"/>
      <c r="CY255" s="25"/>
      <c r="CZ255" s="25"/>
      <c r="DA255" s="25"/>
      <c r="DB255" s="25"/>
      <c r="DC255" s="25"/>
      <c r="DD255" s="25"/>
      <c r="DE255" s="25"/>
      <c r="DF255" s="25"/>
      <c r="DG255" s="25"/>
      <c r="DH255" s="25"/>
      <c r="DI255" s="25"/>
      <c r="DJ255" s="25"/>
    </row>
    <row r="256" spans="1:114" s="129" customFormat="1" ht="15.75" customHeight="1">
      <c r="A256" s="109">
        <f t="shared" si="44"/>
        <v>220</v>
      </c>
      <c r="B256" s="87">
        <f t="shared" si="44"/>
        <v>6</v>
      </c>
      <c r="C256" s="88" t="s">
        <v>217</v>
      </c>
      <c r="D256" s="89" t="s">
        <v>205</v>
      </c>
      <c r="E256" s="88" t="s">
        <v>3</v>
      </c>
      <c r="F256" s="90">
        <v>17500</v>
      </c>
      <c r="G256" s="91"/>
      <c r="H256" s="92">
        <v>250000</v>
      </c>
      <c r="I256" s="93" t="s">
        <v>498</v>
      </c>
      <c r="J256" s="22">
        <f t="shared" si="42"/>
        <v>17500</v>
      </c>
      <c r="K256" s="22">
        <f t="shared" si="43"/>
        <v>250000</v>
      </c>
      <c r="L256" s="23"/>
      <c r="M256" s="23"/>
      <c r="N256" s="23"/>
      <c r="O256" s="23"/>
      <c r="P256" s="23"/>
      <c r="Q256" s="23"/>
      <c r="R256" s="23"/>
      <c r="S256" s="23"/>
      <c r="T256" s="23"/>
      <c r="U256" s="23"/>
      <c r="V256" s="24"/>
      <c r="W256" s="24"/>
      <c r="X256" s="24"/>
      <c r="Y256" s="24"/>
      <c r="Z256" s="24"/>
      <c r="AA256" s="24"/>
      <c r="AB256" s="24"/>
      <c r="AC256" s="24"/>
      <c r="AD256" s="24"/>
      <c r="AE256" s="24"/>
      <c r="AF256" s="24"/>
      <c r="AG256" s="24"/>
      <c r="AH256" s="24"/>
      <c r="AI256" s="24"/>
      <c r="AJ256" s="24"/>
      <c r="AK256" s="24"/>
      <c r="AL256" s="24"/>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c r="CA256" s="25"/>
      <c r="CB256" s="25"/>
      <c r="CC256" s="25"/>
      <c r="CD256" s="25"/>
      <c r="CE256" s="25"/>
      <c r="CF256" s="25"/>
      <c r="CG256" s="25"/>
      <c r="CH256" s="25"/>
      <c r="CI256" s="25"/>
      <c r="CJ256" s="25"/>
      <c r="CK256" s="25"/>
      <c r="CL256" s="25"/>
      <c r="CM256" s="25"/>
      <c r="CN256" s="25"/>
      <c r="CO256" s="25"/>
      <c r="CP256" s="25"/>
      <c r="CQ256" s="25"/>
      <c r="CR256" s="25"/>
      <c r="CS256" s="25"/>
      <c r="CT256" s="25"/>
      <c r="CU256" s="25"/>
      <c r="CV256" s="25"/>
      <c r="CW256" s="25"/>
      <c r="CX256" s="25"/>
      <c r="CY256" s="25"/>
      <c r="CZ256" s="25"/>
      <c r="DA256" s="25"/>
      <c r="DB256" s="25"/>
      <c r="DC256" s="25"/>
      <c r="DD256" s="25"/>
      <c r="DE256" s="25"/>
      <c r="DF256" s="25"/>
      <c r="DG256" s="25"/>
      <c r="DH256" s="25"/>
      <c r="DI256" s="25"/>
      <c r="DJ256" s="25"/>
    </row>
    <row r="257" spans="1:114" s="130" customFormat="1" ht="15.75" customHeight="1">
      <c r="A257" s="109">
        <f t="shared" si="44"/>
        <v>221</v>
      </c>
      <c r="B257" s="87">
        <f t="shared" si="44"/>
        <v>7</v>
      </c>
      <c r="C257" s="88" t="s">
        <v>204</v>
      </c>
      <c r="D257" s="89" t="s">
        <v>207</v>
      </c>
      <c r="E257" s="88" t="s">
        <v>3</v>
      </c>
      <c r="F257" s="90">
        <v>58334</v>
      </c>
      <c r="G257" s="91"/>
      <c r="H257" s="92">
        <v>2537000</v>
      </c>
      <c r="I257" s="93" t="s">
        <v>498</v>
      </c>
      <c r="J257" s="22">
        <f t="shared" si="42"/>
        <v>58334</v>
      </c>
      <c r="K257" s="22">
        <f t="shared" si="43"/>
        <v>2537000</v>
      </c>
      <c r="L257" s="23"/>
      <c r="M257" s="23"/>
      <c r="N257" s="23"/>
      <c r="O257" s="23"/>
      <c r="P257" s="23"/>
      <c r="Q257" s="23"/>
      <c r="R257" s="23"/>
      <c r="S257" s="23"/>
      <c r="T257" s="23"/>
      <c r="U257" s="23"/>
      <c r="V257" s="24"/>
      <c r="W257" s="24"/>
      <c r="X257" s="24"/>
      <c r="Y257" s="24"/>
      <c r="Z257" s="24"/>
      <c r="AA257" s="24"/>
      <c r="AB257" s="24"/>
      <c r="AC257" s="24"/>
      <c r="AD257" s="24"/>
      <c r="AE257" s="24"/>
      <c r="AF257" s="24"/>
      <c r="AG257" s="24"/>
      <c r="AH257" s="24"/>
      <c r="AI257" s="24"/>
      <c r="AJ257" s="24"/>
      <c r="AK257" s="24"/>
      <c r="AL257" s="24"/>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c r="CA257" s="25"/>
      <c r="CB257" s="25"/>
      <c r="CC257" s="25"/>
      <c r="CD257" s="25"/>
      <c r="CE257" s="25"/>
      <c r="CF257" s="25"/>
      <c r="CG257" s="25"/>
      <c r="CH257" s="25"/>
      <c r="CI257" s="25"/>
      <c r="CJ257" s="25"/>
      <c r="CK257" s="25"/>
      <c r="CL257" s="25"/>
      <c r="CM257" s="25"/>
      <c r="CN257" s="25"/>
      <c r="CO257" s="25"/>
      <c r="CP257" s="25"/>
      <c r="CQ257" s="25"/>
      <c r="CR257" s="25"/>
      <c r="CS257" s="25"/>
      <c r="CT257" s="25"/>
      <c r="CU257" s="25"/>
      <c r="CV257" s="25"/>
      <c r="CW257" s="25"/>
      <c r="CX257" s="25"/>
      <c r="CY257" s="25"/>
      <c r="CZ257" s="25"/>
      <c r="DA257" s="25"/>
      <c r="DB257" s="25"/>
      <c r="DC257" s="25"/>
      <c r="DD257" s="25"/>
      <c r="DE257" s="25"/>
      <c r="DF257" s="25"/>
      <c r="DG257" s="25"/>
      <c r="DH257" s="25"/>
      <c r="DI257" s="25"/>
      <c r="DJ257" s="25"/>
    </row>
    <row r="258" spans="1:114" s="48" customFormat="1" ht="15.75" customHeight="1">
      <c r="A258" s="112">
        <f t="shared" si="44"/>
        <v>222</v>
      </c>
      <c r="B258" s="113">
        <f t="shared" si="44"/>
        <v>8</v>
      </c>
      <c r="C258" s="114" t="s">
        <v>231</v>
      </c>
      <c r="D258" s="115" t="s">
        <v>220</v>
      </c>
      <c r="E258" s="114" t="s">
        <v>10</v>
      </c>
      <c r="F258" s="116">
        <v>852495.5</v>
      </c>
      <c r="G258" s="117"/>
      <c r="H258" s="118"/>
      <c r="I258" s="120"/>
      <c r="J258" s="22">
        <f t="shared" si="42"/>
        <v>852495.5</v>
      </c>
      <c r="K258" s="22">
        <f t="shared" si="43"/>
        <v>0</v>
      </c>
      <c r="L258" s="23"/>
      <c r="M258" s="23"/>
      <c r="N258" s="23"/>
      <c r="O258" s="23"/>
      <c r="P258" s="23"/>
      <c r="Q258" s="23"/>
      <c r="R258" s="23"/>
      <c r="S258" s="23"/>
      <c r="T258" s="23"/>
      <c r="U258" s="23"/>
      <c r="V258" s="24"/>
      <c r="W258" s="24"/>
      <c r="X258" s="24"/>
      <c r="Y258" s="24"/>
      <c r="Z258" s="24"/>
      <c r="AA258" s="24"/>
      <c r="AB258" s="24"/>
      <c r="AC258" s="24"/>
      <c r="AD258" s="24"/>
      <c r="AE258" s="24"/>
      <c r="AF258" s="24"/>
      <c r="AG258" s="24"/>
      <c r="AH258" s="24"/>
      <c r="AI258" s="24"/>
      <c r="AJ258" s="24"/>
      <c r="AK258" s="24"/>
      <c r="AL258" s="24"/>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c r="CA258" s="25"/>
      <c r="CB258" s="25"/>
      <c r="CC258" s="25"/>
      <c r="CD258" s="25"/>
      <c r="CE258" s="25"/>
      <c r="CF258" s="25"/>
      <c r="CG258" s="25"/>
      <c r="CH258" s="25"/>
      <c r="CI258" s="25"/>
      <c r="CJ258" s="25"/>
      <c r="CK258" s="25"/>
      <c r="CL258" s="25"/>
      <c r="CM258" s="25"/>
      <c r="CN258" s="25"/>
      <c r="CO258" s="25"/>
      <c r="CP258" s="25"/>
      <c r="CQ258" s="25"/>
      <c r="CR258" s="25"/>
      <c r="CS258" s="25"/>
      <c r="CT258" s="25"/>
      <c r="CU258" s="25"/>
      <c r="CV258" s="25"/>
      <c r="CW258" s="25"/>
      <c r="CX258" s="25"/>
      <c r="CY258" s="25"/>
      <c r="CZ258" s="25"/>
      <c r="DA258" s="25"/>
      <c r="DB258" s="25"/>
      <c r="DC258" s="25"/>
      <c r="DD258" s="25"/>
      <c r="DE258" s="25"/>
      <c r="DF258" s="25"/>
      <c r="DG258" s="25"/>
      <c r="DH258" s="25"/>
      <c r="DI258" s="25"/>
      <c r="DJ258" s="25"/>
    </row>
    <row r="259" spans="1:114" s="26" customFormat="1" ht="15.75" customHeight="1">
      <c r="A259" s="167" t="s">
        <v>241</v>
      </c>
      <c r="B259" s="168"/>
      <c r="C259" s="168"/>
      <c r="D259" s="168"/>
      <c r="E259" s="18"/>
      <c r="F259" s="19">
        <f>SUM(F251:F258)</f>
        <v>2286271.55510907</v>
      </c>
      <c r="G259" s="19"/>
      <c r="H259" s="20">
        <f>SUM(H251:H257)</f>
        <v>156080000</v>
      </c>
      <c r="I259" s="21"/>
      <c r="J259" s="22"/>
      <c r="K259" s="33"/>
      <c r="L259" s="23"/>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c r="CA259" s="25"/>
      <c r="CB259" s="25"/>
      <c r="CC259" s="25"/>
      <c r="CD259" s="25"/>
      <c r="CE259" s="25"/>
      <c r="CF259" s="25"/>
      <c r="CG259" s="25"/>
      <c r="CH259" s="25"/>
      <c r="CI259" s="25"/>
      <c r="CJ259" s="25"/>
      <c r="CK259" s="25"/>
      <c r="CL259" s="25"/>
      <c r="CM259" s="25"/>
      <c r="CN259" s="25"/>
      <c r="CO259" s="25"/>
      <c r="CP259" s="25"/>
      <c r="CQ259" s="25"/>
      <c r="CR259" s="25"/>
      <c r="CS259" s="25"/>
      <c r="CT259" s="25"/>
      <c r="CU259" s="25"/>
      <c r="CV259" s="25"/>
      <c r="CW259" s="25"/>
      <c r="CX259" s="25"/>
      <c r="CY259" s="25"/>
      <c r="CZ259" s="25"/>
      <c r="DA259" s="25"/>
      <c r="DB259" s="25"/>
      <c r="DC259" s="25"/>
      <c r="DD259" s="25"/>
      <c r="DE259" s="25"/>
      <c r="DF259" s="25"/>
      <c r="DG259" s="25"/>
      <c r="DH259" s="25"/>
      <c r="DI259" s="25"/>
      <c r="DJ259" s="25"/>
    </row>
    <row r="260" spans="1:114" s="34" customFormat="1" ht="15.75" customHeight="1">
      <c r="A260" s="170">
        <v>2004</v>
      </c>
      <c r="B260" s="171"/>
      <c r="C260" s="171"/>
      <c r="D260" s="171"/>
      <c r="E260" s="171"/>
      <c r="F260" s="171"/>
      <c r="G260" s="171"/>
      <c r="H260" s="171"/>
      <c r="I260" s="172"/>
      <c r="J260" s="22">
        <f aca="true" t="shared" si="45" ref="J260:J265">+F260</f>
        <v>0</v>
      </c>
      <c r="K260" s="22">
        <f aca="true" t="shared" si="46" ref="K260:K267">+H260</f>
        <v>0</v>
      </c>
      <c r="L260" s="23"/>
      <c r="M260" s="23"/>
      <c r="N260" s="23"/>
      <c r="O260" s="23"/>
      <c r="P260" s="23"/>
      <c r="Q260" s="23"/>
      <c r="R260" s="23"/>
      <c r="S260" s="23"/>
      <c r="T260" s="23"/>
      <c r="U260" s="23"/>
      <c r="V260" s="24"/>
      <c r="W260" s="24"/>
      <c r="X260" s="24"/>
      <c r="Y260" s="24"/>
      <c r="Z260" s="24"/>
      <c r="AA260" s="24"/>
      <c r="AB260" s="24"/>
      <c r="AC260" s="24"/>
      <c r="AD260" s="24"/>
      <c r="AE260" s="24"/>
      <c r="AF260" s="24"/>
      <c r="AG260" s="24"/>
      <c r="AH260" s="24"/>
      <c r="AI260" s="24"/>
      <c r="AJ260" s="24"/>
      <c r="AK260" s="24"/>
      <c r="AL260" s="24"/>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c r="CA260" s="25"/>
      <c r="CB260" s="25"/>
      <c r="CC260" s="25"/>
      <c r="CD260" s="25"/>
      <c r="CE260" s="25"/>
      <c r="CF260" s="25"/>
      <c r="CG260" s="25"/>
      <c r="CH260" s="25"/>
      <c r="CI260" s="25"/>
      <c r="CJ260" s="25"/>
      <c r="CK260" s="25"/>
      <c r="CL260" s="25"/>
      <c r="CM260" s="25"/>
      <c r="CN260" s="25"/>
      <c r="CO260" s="25"/>
      <c r="CP260" s="25"/>
      <c r="CQ260" s="25"/>
      <c r="CR260" s="25"/>
      <c r="CS260" s="25"/>
      <c r="CT260" s="25"/>
      <c r="CU260" s="25"/>
      <c r="CV260" s="25"/>
      <c r="CW260" s="25"/>
      <c r="CX260" s="25"/>
      <c r="CY260" s="25"/>
      <c r="CZ260" s="25"/>
      <c r="DA260" s="25"/>
      <c r="DB260" s="25"/>
      <c r="DC260" s="25"/>
      <c r="DD260" s="25"/>
      <c r="DE260" s="25"/>
      <c r="DF260" s="25"/>
      <c r="DG260" s="25"/>
      <c r="DH260" s="25"/>
      <c r="DI260" s="25"/>
      <c r="DJ260" s="25"/>
    </row>
    <row r="261" spans="1:114" s="129" customFormat="1" ht="15.75" customHeight="1">
      <c r="A261" s="109">
        <f>+A258+1</f>
        <v>223</v>
      </c>
      <c r="B261" s="87">
        <v>1</v>
      </c>
      <c r="C261" s="88" t="s">
        <v>233</v>
      </c>
      <c r="D261" s="89" t="s">
        <v>232</v>
      </c>
      <c r="E261" s="88" t="s">
        <v>171</v>
      </c>
      <c r="F261" s="90">
        <f>108612/3.47</f>
        <v>31300.28818443804</v>
      </c>
      <c r="G261" s="91"/>
      <c r="H261" s="92"/>
      <c r="I261" s="93"/>
      <c r="J261" s="22">
        <f t="shared" si="45"/>
        <v>31300.28818443804</v>
      </c>
      <c r="K261" s="22">
        <f t="shared" si="46"/>
        <v>0</v>
      </c>
      <c r="L261" s="23"/>
      <c r="M261" s="23"/>
      <c r="N261" s="23"/>
      <c r="O261" s="23"/>
      <c r="P261" s="23"/>
      <c r="Q261" s="23"/>
      <c r="R261" s="23"/>
      <c r="S261" s="23"/>
      <c r="T261" s="23"/>
      <c r="U261" s="23"/>
      <c r="V261" s="24"/>
      <c r="W261" s="24"/>
      <c r="X261" s="24"/>
      <c r="Y261" s="24"/>
      <c r="Z261" s="24"/>
      <c r="AA261" s="24"/>
      <c r="AB261" s="24"/>
      <c r="AC261" s="24"/>
      <c r="AD261" s="24"/>
      <c r="AE261" s="24"/>
      <c r="AF261" s="24"/>
      <c r="AG261" s="24"/>
      <c r="AH261" s="24"/>
      <c r="AI261" s="24"/>
      <c r="AJ261" s="24"/>
      <c r="AK261" s="24"/>
      <c r="AL261" s="24"/>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c r="CA261" s="25"/>
      <c r="CB261" s="25"/>
      <c r="CC261" s="25"/>
      <c r="CD261" s="25"/>
      <c r="CE261" s="25"/>
      <c r="CF261" s="25"/>
      <c r="CG261" s="25"/>
      <c r="CH261" s="25"/>
      <c r="CI261" s="25"/>
      <c r="CJ261" s="25"/>
      <c r="CK261" s="25"/>
      <c r="CL261" s="25"/>
      <c r="CM261" s="25"/>
      <c r="CN261" s="25"/>
      <c r="CO261" s="25"/>
      <c r="CP261" s="25"/>
      <c r="CQ261" s="25"/>
      <c r="CR261" s="25"/>
      <c r="CS261" s="25"/>
      <c r="CT261" s="25"/>
      <c r="CU261" s="25"/>
      <c r="CV261" s="25"/>
      <c r="CW261" s="25"/>
      <c r="CX261" s="25"/>
      <c r="CY261" s="25"/>
      <c r="CZ261" s="25"/>
      <c r="DA261" s="25"/>
      <c r="DB261" s="25"/>
      <c r="DC261" s="25"/>
      <c r="DD261" s="25"/>
      <c r="DE261" s="25"/>
      <c r="DF261" s="25"/>
      <c r="DG261" s="25"/>
      <c r="DH261" s="25"/>
      <c r="DI261" s="25"/>
      <c r="DJ261" s="25"/>
    </row>
    <row r="262" spans="1:114" s="129" customFormat="1" ht="15.75" customHeight="1">
      <c r="A262" s="109">
        <f>+A261+1</f>
        <v>224</v>
      </c>
      <c r="B262" s="87">
        <f>+B261+1</f>
        <v>2</v>
      </c>
      <c r="C262" s="88" t="s">
        <v>234</v>
      </c>
      <c r="D262" s="89" t="s">
        <v>678</v>
      </c>
      <c r="E262" s="88" t="s">
        <v>427</v>
      </c>
      <c r="F262" s="90">
        <v>183000</v>
      </c>
      <c r="G262" s="91"/>
      <c r="H262" s="92"/>
      <c r="I262" s="93"/>
      <c r="J262" s="22">
        <f t="shared" si="45"/>
        <v>183000</v>
      </c>
      <c r="K262" s="22">
        <f t="shared" si="46"/>
        <v>0</v>
      </c>
      <c r="L262" s="23"/>
      <c r="M262" s="23"/>
      <c r="N262" s="23"/>
      <c r="O262" s="23"/>
      <c r="P262" s="23"/>
      <c r="Q262" s="23"/>
      <c r="R262" s="23"/>
      <c r="S262" s="23"/>
      <c r="T262" s="23"/>
      <c r="U262" s="23"/>
      <c r="V262" s="24"/>
      <c r="W262" s="24"/>
      <c r="X262" s="24"/>
      <c r="Y262" s="24"/>
      <c r="Z262" s="24"/>
      <c r="AA262" s="24"/>
      <c r="AB262" s="24"/>
      <c r="AC262" s="24"/>
      <c r="AD262" s="24"/>
      <c r="AE262" s="24"/>
      <c r="AF262" s="24"/>
      <c r="AG262" s="24"/>
      <c r="AH262" s="24"/>
      <c r="AI262" s="24"/>
      <c r="AJ262" s="24"/>
      <c r="AK262" s="24"/>
      <c r="AL262" s="24"/>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c r="CA262" s="25"/>
      <c r="CB262" s="25"/>
      <c r="CC262" s="25"/>
      <c r="CD262" s="25"/>
      <c r="CE262" s="25"/>
      <c r="CF262" s="25"/>
      <c r="CG262" s="25"/>
      <c r="CH262" s="25"/>
      <c r="CI262" s="25"/>
      <c r="CJ262" s="25"/>
      <c r="CK262" s="25"/>
      <c r="CL262" s="25"/>
      <c r="CM262" s="25"/>
      <c r="CN262" s="25"/>
      <c r="CO262" s="25"/>
      <c r="CP262" s="25"/>
      <c r="CQ262" s="25"/>
      <c r="CR262" s="25"/>
      <c r="CS262" s="25"/>
      <c r="CT262" s="25"/>
      <c r="CU262" s="25"/>
      <c r="CV262" s="25"/>
      <c r="CW262" s="25"/>
      <c r="CX262" s="25"/>
      <c r="CY262" s="25"/>
      <c r="CZ262" s="25"/>
      <c r="DA262" s="25"/>
      <c r="DB262" s="25"/>
      <c r="DC262" s="25"/>
      <c r="DD262" s="25"/>
      <c r="DE262" s="25"/>
      <c r="DF262" s="25"/>
      <c r="DG262" s="25"/>
      <c r="DH262" s="25"/>
      <c r="DI262" s="25"/>
      <c r="DJ262" s="25"/>
    </row>
    <row r="263" spans="1:114" s="129" customFormat="1" ht="15.75" customHeight="1">
      <c r="A263" s="109">
        <f>+A262+1</f>
        <v>225</v>
      </c>
      <c r="B263" s="87">
        <f>B262+1</f>
        <v>3</v>
      </c>
      <c r="C263" s="88" t="s">
        <v>237</v>
      </c>
      <c r="D263" s="89" t="s">
        <v>235</v>
      </c>
      <c r="E263" s="88" t="s">
        <v>424</v>
      </c>
      <c r="F263" s="90">
        <f>245696636.64/3.466</f>
        <v>70887662.04270051</v>
      </c>
      <c r="G263" s="91"/>
      <c r="H263" s="92"/>
      <c r="I263" s="93"/>
      <c r="J263" s="22">
        <f t="shared" si="45"/>
        <v>70887662.04270051</v>
      </c>
      <c r="K263" s="22">
        <f t="shared" si="46"/>
        <v>0</v>
      </c>
      <c r="L263" s="23"/>
      <c r="M263" s="23"/>
      <c r="N263" s="23"/>
      <c r="O263" s="23"/>
      <c r="P263" s="23"/>
      <c r="Q263" s="23"/>
      <c r="R263" s="23"/>
      <c r="S263" s="23"/>
      <c r="T263" s="23"/>
      <c r="U263" s="23"/>
      <c r="V263" s="24"/>
      <c r="W263" s="24"/>
      <c r="X263" s="24"/>
      <c r="Y263" s="24"/>
      <c r="Z263" s="24"/>
      <c r="AA263" s="24"/>
      <c r="AB263" s="24"/>
      <c r="AC263" s="24"/>
      <c r="AD263" s="24"/>
      <c r="AE263" s="24"/>
      <c r="AF263" s="24"/>
      <c r="AG263" s="24"/>
      <c r="AH263" s="24"/>
      <c r="AI263" s="24"/>
      <c r="AJ263" s="24"/>
      <c r="AK263" s="24"/>
      <c r="AL263" s="24"/>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c r="CA263" s="25"/>
      <c r="CB263" s="25"/>
      <c r="CC263" s="25"/>
      <c r="CD263" s="25"/>
      <c r="CE263" s="25"/>
      <c r="CF263" s="25"/>
      <c r="CG263" s="25"/>
      <c r="CH263" s="25"/>
      <c r="CI263" s="25"/>
      <c r="CJ263" s="25"/>
      <c r="CK263" s="25"/>
      <c r="CL263" s="25"/>
      <c r="CM263" s="25"/>
      <c r="CN263" s="25"/>
      <c r="CO263" s="25"/>
      <c r="CP263" s="25"/>
      <c r="CQ263" s="25"/>
      <c r="CR263" s="25"/>
      <c r="CS263" s="25"/>
      <c r="CT263" s="25"/>
      <c r="CU263" s="25"/>
      <c r="CV263" s="25"/>
      <c r="CW263" s="25"/>
      <c r="CX263" s="25"/>
      <c r="CY263" s="25"/>
      <c r="CZ263" s="25"/>
      <c r="DA263" s="25"/>
      <c r="DB263" s="25"/>
      <c r="DC263" s="25"/>
      <c r="DD263" s="25"/>
      <c r="DE263" s="25"/>
      <c r="DF263" s="25"/>
      <c r="DG263" s="25"/>
      <c r="DH263" s="25"/>
      <c r="DI263" s="25"/>
      <c r="DJ263" s="25"/>
    </row>
    <row r="264" spans="1:114" s="130" customFormat="1" ht="15.75" customHeight="1">
      <c r="A264" s="109">
        <f>+A263+1</f>
        <v>226</v>
      </c>
      <c r="B264" s="87">
        <f>B263+1</f>
        <v>4</v>
      </c>
      <c r="C264" s="88" t="s">
        <v>236</v>
      </c>
      <c r="D264" s="89" t="s">
        <v>679</v>
      </c>
      <c r="E264" s="88" t="s">
        <v>427</v>
      </c>
      <c r="F264" s="90">
        <v>560654</v>
      </c>
      <c r="G264" s="91"/>
      <c r="H264" s="92"/>
      <c r="I264" s="93"/>
      <c r="J264" s="22">
        <f t="shared" si="45"/>
        <v>560654</v>
      </c>
      <c r="K264" s="22">
        <f t="shared" si="46"/>
        <v>0</v>
      </c>
      <c r="L264" s="23"/>
      <c r="M264" s="23"/>
      <c r="N264" s="23"/>
      <c r="O264" s="23"/>
      <c r="P264" s="23"/>
      <c r="Q264" s="23"/>
      <c r="R264" s="23"/>
      <c r="S264" s="23"/>
      <c r="T264" s="23"/>
      <c r="U264" s="23"/>
      <c r="V264" s="24"/>
      <c r="W264" s="24"/>
      <c r="X264" s="24"/>
      <c r="Y264" s="24"/>
      <c r="Z264" s="24"/>
      <c r="AA264" s="24"/>
      <c r="AB264" s="24"/>
      <c r="AC264" s="24"/>
      <c r="AD264" s="24"/>
      <c r="AE264" s="24"/>
      <c r="AF264" s="24"/>
      <c r="AG264" s="24"/>
      <c r="AH264" s="24"/>
      <c r="AI264" s="24"/>
      <c r="AJ264" s="24"/>
      <c r="AK264" s="24"/>
      <c r="AL264" s="24"/>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c r="CA264" s="25"/>
      <c r="CB264" s="25"/>
      <c r="CC264" s="25"/>
      <c r="CD264" s="25"/>
      <c r="CE264" s="25"/>
      <c r="CF264" s="25"/>
      <c r="CG264" s="25"/>
      <c r="CH264" s="25"/>
      <c r="CI264" s="25"/>
      <c r="CJ264" s="25"/>
      <c r="CK264" s="25"/>
      <c r="CL264" s="25"/>
      <c r="CM264" s="25"/>
      <c r="CN264" s="25"/>
      <c r="CO264" s="25"/>
      <c r="CP264" s="25"/>
      <c r="CQ264" s="25"/>
      <c r="CR264" s="25"/>
      <c r="CS264" s="25"/>
      <c r="CT264" s="25"/>
      <c r="CU264" s="25"/>
      <c r="CV264" s="25"/>
      <c r="CW264" s="25"/>
      <c r="CX264" s="25"/>
      <c r="CY264" s="25"/>
      <c r="CZ264" s="25"/>
      <c r="DA264" s="25"/>
      <c r="DB264" s="25"/>
      <c r="DC264" s="25"/>
      <c r="DD264" s="25"/>
      <c r="DE264" s="25"/>
      <c r="DF264" s="25"/>
      <c r="DG264" s="25"/>
      <c r="DH264" s="25"/>
      <c r="DI264" s="25"/>
      <c r="DJ264" s="25"/>
    </row>
    <row r="265" spans="1:114" s="132" customFormat="1" ht="15.75" customHeight="1">
      <c r="A265" s="109">
        <f>+A264+1</f>
        <v>227</v>
      </c>
      <c r="B265" s="87">
        <f>B264+1</f>
        <v>5</v>
      </c>
      <c r="C265" s="88" t="s">
        <v>243</v>
      </c>
      <c r="D265" s="89" t="s">
        <v>251</v>
      </c>
      <c r="E265" s="88" t="s">
        <v>10</v>
      </c>
      <c r="F265" s="90">
        <f>641950+11200+200</f>
        <v>653350</v>
      </c>
      <c r="G265" s="91"/>
      <c r="H265" s="92"/>
      <c r="I265" s="93"/>
      <c r="J265" s="22">
        <f t="shared" si="45"/>
        <v>653350</v>
      </c>
      <c r="K265" s="22">
        <f t="shared" si="46"/>
        <v>0</v>
      </c>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131"/>
      <c r="AN265" s="131"/>
      <c r="AO265" s="131"/>
      <c r="AP265" s="131"/>
      <c r="AQ265" s="131"/>
      <c r="AR265" s="131"/>
      <c r="AS265" s="131"/>
      <c r="AT265" s="131"/>
      <c r="AU265" s="131"/>
      <c r="AV265" s="131"/>
      <c r="AW265" s="131"/>
      <c r="AX265" s="131"/>
      <c r="AY265" s="131"/>
      <c r="AZ265" s="131"/>
      <c r="BA265" s="131"/>
      <c r="BB265" s="131"/>
      <c r="BC265" s="131"/>
      <c r="BD265" s="131"/>
      <c r="BE265" s="131"/>
      <c r="BF265" s="131"/>
      <c r="BG265" s="131"/>
      <c r="BH265" s="131"/>
      <c r="BI265" s="131"/>
      <c r="BJ265" s="131"/>
      <c r="BK265" s="131"/>
      <c r="BL265" s="131"/>
      <c r="BM265" s="131"/>
      <c r="BN265" s="131"/>
      <c r="BO265" s="131"/>
      <c r="BP265" s="131"/>
      <c r="BQ265" s="131"/>
      <c r="BR265" s="131"/>
      <c r="BS265" s="131"/>
      <c r="BT265" s="131"/>
      <c r="BU265" s="131"/>
      <c r="BV265" s="131"/>
      <c r="BW265" s="131"/>
      <c r="BX265" s="131"/>
      <c r="BY265" s="131"/>
      <c r="BZ265" s="131"/>
      <c r="CA265" s="131"/>
      <c r="CB265" s="131"/>
      <c r="CC265" s="131"/>
      <c r="CD265" s="131"/>
      <c r="CE265" s="131"/>
      <c r="CF265" s="131"/>
      <c r="CG265" s="131"/>
      <c r="CH265" s="131"/>
      <c r="CI265" s="131"/>
      <c r="CJ265" s="131"/>
      <c r="CK265" s="131"/>
      <c r="CL265" s="131"/>
      <c r="CM265" s="131"/>
      <c r="CN265" s="131"/>
      <c r="CO265" s="131"/>
      <c r="CP265" s="131"/>
      <c r="CQ265" s="131"/>
      <c r="CR265" s="131"/>
      <c r="CS265" s="131"/>
      <c r="CT265" s="131"/>
      <c r="CU265" s="131"/>
      <c r="CV265" s="131"/>
      <c r="CW265" s="131"/>
      <c r="CX265" s="131"/>
      <c r="CY265" s="131"/>
      <c r="CZ265" s="131"/>
      <c r="DA265" s="131"/>
      <c r="DB265" s="131"/>
      <c r="DC265" s="131"/>
      <c r="DD265" s="131"/>
      <c r="DE265" s="131"/>
      <c r="DF265" s="131"/>
      <c r="DG265" s="131"/>
      <c r="DH265" s="131"/>
      <c r="DI265" s="131"/>
      <c r="DJ265" s="131"/>
    </row>
    <row r="266" spans="1:38" s="25" customFormat="1" ht="15.75" customHeight="1">
      <c r="A266" s="109">
        <f>+A265+1</f>
        <v>228</v>
      </c>
      <c r="B266" s="87">
        <f>B265+1</f>
        <v>6</v>
      </c>
      <c r="C266" s="88" t="s">
        <v>245</v>
      </c>
      <c r="D266" s="89" t="s">
        <v>680</v>
      </c>
      <c r="E266" s="88" t="s">
        <v>427</v>
      </c>
      <c r="F266" s="90">
        <v>97500000</v>
      </c>
      <c r="G266" s="91" t="s">
        <v>542</v>
      </c>
      <c r="H266" s="92">
        <v>300000000</v>
      </c>
      <c r="I266" s="93" t="s">
        <v>543</v>
      </c>
      <c r="J266" s="22"/>
      <c r="K266" s="22">
        <f>+H301</f>
        <v>2152269000</v>
      </c>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row>
    <row r="267" spans="1:114" s="133" customFormat="1" ht="15.75" customHeight="1">
      <c r="A267" s="112">
        <f>+A266+1</f>
        <v>229</v>
      </c>
      <c r="B267" s="113">
        <f>B266+1</f>
        <v>7</v>
      </c>
      <c r="C267" s="114" t="s">
        <v>541</v>
      </c>
      <c r="D267" s="115" t="s">
        <v>246</v>
      </c>
      <c r="E267" s="114" t="s">
        <v>3</v>
      </c>
      <c r="F267" s="116">
        <f>1345141*1.3/3.365</f>
        <v>519668.1426448737</v>
      </c>
      <c r="G267" s="117"/>
      <c r="H267" s="118"/>
      <c r="I267" s="120"/>
      <c r="J267" s="22">
        <f>+F267</f>
        <v>519668.1426448737</v>
      </c>
      <c r="K267" s="22">
        <f t="shared" si="46"/>
        <v>0</v>
      </c>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131"/>
      <c r="AN267" s="131"/>
      <c r="AO267" s="131"/>
      <c r="AP267" s="131"/>
      <c r="AQ267" s="131"/>
      <c r="AR267" s="131"/>
      <c r="AS267" s="131"/>
      <c r="AT267" s="131"/>
      <c r="AU267" s="131"/>
      <c r="AV267" s="131"/>
      <c r="AW267" s="131"/>
      <c r="AX267" s="131"/>
      <c r="AY267" s="131"/>
      <c r="AZ267" s="131"/>
      <c r="BA267" s="131"/>
      <c r="BB267" s="131"/>
      <c r="BC267" s="131"/>
      <c r="BD267" s="131"/>
      <c r="BE267" s="131"/>
      <c r="BF267" s="131"/>
      <c r="BG267" s="131"/>
      <c r="BH267" s="131"/>
      <c r="BI267" s="131"/>
      <c r="BJ267" s="131"/>
      <c r="BK267" s="131"/>
      <c r="BL267" s="131"/>
      <c r="BM267" s="131"/>
      <c r="BN267" s="131"/>
      <c r="BO267" s="131"/>
      <c r="BP267" s="131"/>
      <c r="BQ267" s="131"/>
      <c r="BR267" s="131"/>
      <c r="BS267" s="131"/>
      <c r="BT267" s="131"/>
      <c r="BU267" s="131"/>
      <c r="BV267" s="131"/>
      <c r="BW267" s="131"/>
      <c r="BX267" s="131"/>
      <c r="BY267" s="131"/>
      <c r="BZ267" s="131"/>
      <c r="CA267" s="131"/>
      <c r="CB267" s="131"/>
      <c r="CC267" s="131"/>
      <c r="CD267" s="131"/>
      <c r="CE267" s="131"/>
      <c r="CF267" s="131"/>
      <c r="CG267" s="131"/>
      <c r="CH267" s="131"/>
      <c r="CI267" s="131"/>
      <c r="CJ267" s="131"/>
      <c r="CK267" s="131"/>
      <c r="CL267" s="131"/>
      <c r="CM267" s="131"/>
      <c r="CN267" s="131"/>
      <c r="CO267" s="131"/>
      <c r="CP267" s="131"/>
      <c r="CQ267" s="131"/>
      <c r="CR267" s="131"/>
      <c r="CS267" s="131"/>
      <c r="CT267" s="131"/>
      <c r="CU267" s="131"/>
      <c r="CV267" s="131"/>
      <c r="CW267" s="131"/>
      <c r="CX267" s="131"/>
      <c r="CY267" s="131"/>
      <c r="CZ267" s="131"/>
      <c r="DA267" s="131"/>
      <c r="DB267" s="131"/>
      <c r="DC267" s="131"/>
      <c r="DD267" s="131"/>
      <c r="DE267" s="131"/>
      <c r="DF267" s="131"/>
      <c r="DG267" s="131"/>
      <c r="DH267" s="131"/>
      <c r="DI267" s="131"/>
      <c r="DJ267" s="131"/>
    </row>
    <row r="268" spans="1:114" s="26" customFormat="1" ht="15.75" customHeight="1">
      <c r="A268" s="167" t="s">
        <v>244</v>
      </c>
      <c r="B268" s="168"/>
      <c r="C268" s="168"/>
      <c r="D268" s="168"/>
      <c r="E268" s="18"/>
      <c r="F268" s="19">
        <f>SUM(F261:F267)</f>
        <v>170335634.47352982</v>
      </c>
      <c r="G268" s="19"/>
      <c r="H268" s="20">
        <f>SUM(H261:H267)</f>
        <v>300000000</v>
      </c>
      <c r="I268" s="21"/>
      <c r="J268" s="22"/>
      <c r="K268" s="33"/>
      <c r="L268" s="23"/>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c r="CA268" s="25"/>
      <c r="CB268" s="25"/>
      <c r="CC268" s="25"/>
      <c r="CD268" s="25"/>
      <c r="CE268" s="25"/>
      <c r="CF268" s="25"/>
      <c r="CG268" s="25"/>
      <c r="CH268" s="25"/>
      <c r="CI268" s="25"/>
      <c r="CJ268" s="25"/>
      <c r="CK268" s="25"/>
      <c r="CL268" s="25"/>
      <c r="CM268" s="25"/>
      <c r="CN268" s="25"/>
      <c r="CO268" s="25"/>
      <c r="CP268" s="25"/>
      <c r="CQ268" s="25"/>
      <c r="CR268" s="25"/>
      <c r="CS268" s="25"/>
      <c r="CT268" s="25"/>
      <c r="CU268" s="25"/>
      <c r="CV268" s="25"/>
      <c r="CW268" s="25"/>
      <c r="CX268" s="25"/>
      <c r="CY268" s="25"/>
      <c r="CZ268" s="25"/>
      <c r="DA268" s="25"/>
      <c r="DB268" s="25"/>
      <c r="DC268" s="25"/>
      <c r="DD268" s="25"/>
      <c r="DE268" s="25"/>
      <c r="DF268" s="25"/>
      <c r="DG268" s="25"/>
      <c r="DH268" s="25"/>
      <c r="DI268" s="25"/>
      <c r="DJ268" s="25"/>
    </row>
    <row r="269" spans="1:114" s="34" customFormat="1" ht="15.75" customHeight="1">
      <c r="A269" s="170">
        <v>2005</v>
      </c>
      <c r="B269" s="171"/>
      <c r="C269" s="171"/>
      <c r="D269" s="171"/>
      <c r="E269" s="171"/>
      <c r="F269" s="171"/>
      <c r="G269" s="171"/>
      <c r="H269" s="171"/>
      <c r="I269" s="172"/>
      <c r="J269" s="22">
        <f aca="true" t="shared" si="47" ref="J269:J279">+F269</f>
        <v>0</v>
      </c>
      <c r="K269" s="22">
        <f aca="true" t="shared" si="48" ref="K269:K279">+H269</f>
        <v>0</v>
      </c>
      <c r="L269" s="23"/>
      <c r="M269" s="23"/>
      <c r="N269" s="23"/>
      <c r="O269" s="23"/>
      <c r="P269" s="23"/>
      <c r="Q269" s="23"/>
      <c r="R269" s="23"/>
      <c r="S269" s="23"/>
      <c r="T269" s="23"/>
      <c r="U269" s="23"/>
      <c r="V269" s="24"/>
      <c r="W269" s="24"/>
      <c r="X269" s="24"/>
      <c r="Y269" s="24"/>
      <c r="Z269" s="24"/>
      <c r="AA269" s="24"/>
      <c r="AB269" s="24"/>
      <c r="AC269" s="24"/>
      <c r="AD269" s="24"/>
      <c r="AE269" s="24"/>
      <c r="AF269" s="24"/>
      <c r="AG269" s="24"/>
      <c r="AH269" s="24"/>
      <c r="AI269" s="24"/>
      <c r="AJ269" s="24"/>
      <c r="AK269" s="24"/>
      <c r="AL269" s="24"/>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c r="CA269" s="25"/>
      <c r="CB269" s="25"/>
      <c r="CC269" s="25"/>
      <c r="CD269" s="25"/>
      <c r="CE269" s="25"/>
      <c r="CF269" s="25"/>
      <c r="CG269" s="25"/>
      <c r="CH269" s="25"/>
      <c r="CI269" s="25"/>
      <c r="CJ269" s="25"/>
      <c r="CK269" s="25"/>
      <c r="CL269" s="25"/>
      <c r="CM269" s="25"/>
      <c r="CN269" s="25"/>
      <c r="CO269" s="25"/>
      <c r="CP269" s="25"/>
      <c r="CQ269" s="25"/>
      <c r="CR269" s="25"/>
      <c r="CS269" s="25"/>
      <c r="CT269" s="25"/>
      <c r="CU269" s="25"/>
      <c r="CV269" s="25"/>
      <c r="CW269" s="25"/>
      <c r="CX269" s="25"/>
      <c r="CY269" s="25"/>
      <c r="CZ269" s="25"/>
      <c r="DA269" s="25"/>
      <c r="DB269" s="25"/>
      <c r="DC269" s="25"/>
      <c r="DD269" s="25"/>
      <c r="DE269" s="25"/>
      <c r="DF269" s="25"/>
      <c r="DG269" s="25"/>
      <c r="DH269" s="25"/>
      <c r="DI269" s="25"/>
      <c r="DJ269" s="25"/>
    </row>
    <row r="270" spans="1:114" s="129" customFormat="1" ht="15.75" customHeight="1">
      <c r="A270" s="109">
        <f>+A267+1</f>
        <v>230</v>
      </c>
      <c r="B270" s="87">
        <v>1</v>
      </c>
      <c r="C270" s="88" t="s">
        <v>222</v>
      </c>
      <c r="D270" s="89" t="s">
        <v>221</v>
      </c>
      <c r="E270" s="88" t="s">
        <v>3</v>
      </c>
      <c r="F270" s="90">
        <f>15268955*0.115</f>
        <v>1755929.8250000002</v>
      </c>
      <c r="G270" s="91"/>
      <c r="H270" s="92"/>
      <c r="I270" s="93"/>
      <c r="J270" s="22">
        <f t="shared" si="47"/>
        <v>1755929.8250000002</v>
      </c>
      <c r="K270" s="22">
        <f t="shared" si="48"/>
        <v>0</v>
      </c>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c r="CA270" s="25"/>
      <c r="CB270" s="25"/>
      <c r="CC270" s="25"/>
      <c r="CD270" s="25"/>
      <c r="CE270" s="25"/>
      <c r="CF270" s="25"/>
      <c r="CG270" s="25"/>
      <c r="CH270" s="25"/>
      <c r="CI270" s="25"/>
      <c r="CJ270" s="25"/>
      <c r="CK270" s="25"/>
      <c r="CL270" s="25"/>
      <c r="CM270" s="25"/>
      <c r="CN270" s="25"/>
      <c r="CO270" s="25"/>
      <c r="CP270" s="25"/>
      <c r="CQ270" s="25"/>
      <c r="CR270" s="25"/>
      <c r="CS270" s="25"/>
      <c r="CT270" s="25"/>
      <c r="CU270" s="25"/>
      <c r="CV270" s="25"/>
      <c r="CW270" s="25"/>
      <c r="CX270" s="25"/>
      <c r="CY270" s="25"/>
      <c r="CZ270" s="25"/>
      <c r="DA270" s="25"/>
      <c r="DB270" s="25"/>
      <c r="DC270" s="25"/>
      <c r="DD270" s="25"/>
      <c r="DE270" s="25"/>
      <c r="DF270" s="25"/>
      <c r="DG270" s="25"/>
      <c r="DH270" s="25"/>
      <c r="DI270" s="25"/>
      <c r="DJ270" s="25"/>
    </row>
    <row r="271" spans="1:114" s="129" customFormat="1" ht="15.75" customHeight="1">
      <c r="A271" s="109">
        <f aca="true" t="shared" si="49" ref="A271:B279">+A270+1</f>
        <v>231</v>
      </c>
      <c r="B271" s="87">
        <f t="shared" si="49"/>
        <v>2</v>
      </c>
      <c r="C271" s="88" t="s">
        <v>223</v>
      </c>
      <c r="D271" s="89" t="s">
        <v>224</v>
      </c>
      <c r="E271" s="88" t="s">
        <v>428</v>
      </c>
      <c r="F271" s="90">
        <v>4350001</v>
      </c>
      <c r="G271" s="91"/>
      <c r="H271" s="92"/>
      <c r="I271" s="93"/>
      <c r="J271" s="22">
        <f t="shared" si="47"/>
        <v>4350001</v>
      </c>
      <c r="K271" s="22">
        <f t="shared" si="48"/>
        <v>0</v>
      </c>
      <c r="L271" s="24">
        <f>3039831*1.18</f>
        <v>3587000.5799999996</v>
      </c>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c r="CA271" s="25"/>
      <c r="CB271" s="25"/>
      <c r="CC271" s="25"/>
      <c r="CD271" s="25"/>
      <c r="CE271" s="25"/>
      <c r="CF271" s="25"/>
      <c r="CG271" s="25"/>
      <c r="CH271" s="25"/>
      <c r="CI271" s="25"/>
      <c r="CJ271" s="25"/>
      <c r="CK271" s="25"/>
      <c r="CL271" s="25"/>
      <c r="CM271" s="25"/>
      <c r="CN271" s="25"/>
      <c r="CO271" s="25"/>
      <c r="CP271" s="25"/>
      <c r="CQ271" s="25"/>
      <c r="CR271" s="25"/>
      <c r="CS271" s="25"/>
      <c r="CT271" s="25"/>
      <c r="CU271" s="25"/>
      <c r="CV271" s="25"/>
      <c r="CW271" s="25"/>
      <c r="CX271" s="25"/>
      <c r="CY271" s="25"/>
      <c r="CZ271" s="25"/>
      <c r="DA271" s="25"/>
      <c r="DB271" s="25"/>
      <c r="DC271" s="25"/>
      <c r="DD271" s="25"/>
      <c r="DE271" s="25"/>
      <c r="DF271" s="25"/>
      <c r="DG271" s="25"/>
      <c r="DH271" s="25"/>
      <c r="DI271" s="25"/>
      <c r="DJ271" s="25"/>
    </row>
    <row r="272" spans="1:114" s="129" customFormat="1" ht="15.75" customHeight="1">
      <c r="A272" s="109">
        <f t="shared" si="49"/>
        <v>232</v>
      </c>
      <c r="B272" s="87">
        <f t="shared" si="49"/>
        <v>3</v>
      </c>
      <c r="C272" s="88" t="s">
        <v>225</v>
      </c>
      <c r="D272" s="89" t="s">
        <v>681</v>
      </c>
      <c r="E272" s="88" t="s">
        <v>427</v>
      </c>
      <c r="F272" s="90">
        <v>3000000</v>
      </c>
      <c r="G272" s="91"/>
      <c r="H272" s="92">
        <v>566000000</v>
      </c>
      <c r="I272" s="93"/>
      <c r="J272" s="22">
        <f t="shared" si="47"/>
        <v>3000000</v>
      </c>
      <c r="K272" s="22">
        <f t="shared" si="48"/>
        <v>566000000</v>
      </c>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c r="CA272" s="25"/>
      <c r="CB272" s="25"/>
      <c r="CC272" s="25"/>
      <c r="CD272" s="25"/>
      <c r="CE272" s="25"/>
      <c r="CF272" s="25"/>
      <c r="CG272" s="25"/>
      <c r="CH272" s="25"/>
      <c r="CI272" s="25"/>
      <c r="CJ272" s="25"/>
      <c r="CK272" s="25"/>
      <c r="CL272" s="25"/>
      <c r="CM272" s="25"/>
      <c r="CN272" s="25"/>
      <c r="CO272" s="25"/>
      <c r="CP272" s="25"/>
      <c r="CQ272" s="25"/>
      <c r="CR272" s="25"/>
      <c r="CS272" s="25"/>
      <c r="CT272" s="25"/>
      <c r="CU272" s="25"/>
      <c r="CV272" s="25"/>
      <c r="CW272" s="25"/>
      <c r="CX272" s="25"/>
      <c r="CY272" s="25"/>
      <c r="CZ272" s="25"/>
      <c r="DA272" s="25"/>
      <c r="DB272" s="25"/>
      <c r="DC272" s="25"/>
      <c r="DD272" s="25"/>
      <c r="DE272" s="25"/>
      <c r="DF272" s="25"/>
      <c r="DG272" s="25"/>
      <c r="DH272" s="25"/>
      <c r="DI272" s="25"/>
      <c r="DJ272" s="25"/>
    </row>
    <row r="273" spans="1:114" s="130" customFormat="1" ht="15.75" customHeight="1">
      <c r="A273" s="109">
        <f t="shared" si="49"/>
        <v>233</v>
      </c>
      <c r="B273" s="87">
        <f t="shared" si="49"/>
        <v>4</v>
      </c>
      <c r="C273" s="88" t="s">
        <v>227</v>
      </c>
      <c r="D273" s="89" t="s">
        <v>226</v>
      </c>
      <c r="E273" s="88" t="s">
        <v>426</v>
      </c>
      <c r="F273" s="90">
        <f>457469*1.37/3.262</f>
        <v>192131.370324954</v>
      </c>
      <c r="G273" s="91"/>
      <c r="H273" s="92"/>
      <c r="I273" s="93"/>
      <c r="J273" s="22">
        <f t="shared" si="47"/>
        <v>192131.370324954</v>
      </c>
      <c r="K273" s="22">
        <f t="shared" si="48"/>
        <v>0</v>
      </c>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c r="CA273" s="25"/>
      <c r="CB273" s="25"/>
      <c r="CC273" s="25"/>
      <c r="CD273" s="25"/>
      <c r="CE273" s="25"/>
      <c r="CF273" s="25"/>
      <c r="CG273" s="25"/>
      <c r="CH273" s="25"/>
      <c r="CI273" s="25"/>
      <c r="CJ273" s="25"/>
      <c r="CK273" s="25"/>
      <c r="CL273" s="25"/>
      <c r="CM273" s="25"/>
      <c r="CN273" s="25"/>
      <c r="CO273" s="25"/>
      <c r="CP273" s="25"/>
      <c r="CQ273" s="25"/>
      <c r="CR273" s="25"/>
      <c r="CS273" s="25"/>
      <c r="CT273" s="25"/>
      <c r="CU273" s="25"/>
      <c r="CV273" s="25"/>
      <c r="CW273" s="25"/>
      <c r="CX273" s="25"/>
      <c r="CY273" s="25"/>
      <c r="CZ273" s="25"/>
      <c r="DA273" s="25"/>
      <c r="DB273" s="25"/>
      <c r="DC273" s="25"/>
      <c r="DD273" s="25"/>
      <c r="DE273" s="25"/>
      <c r="DF273" s="25"/>
      <c r="DG273" s="25"/>
      <c r="DH273" s="25"/>
      <c r="DI273" s="25"/>
      <c r="DJ273" s="25"/>
    </row>
    <row r="274" spans="1:114" s="45" customFormat="1" ht="15.75" customHeight="1">
      <c r="A274" s="109">
        <f t="shared" si="49"/>
        <v>234</v>
      </c>
      <c r="B274" s="87">
        <f t="shared" si="49"/>
        <v>5</v>
      </c>
      <c r="C274" s="88" t="s">
        <v>55</v>
      </c>
      <c r="D274" s="89" t="s">
        <v>54</v>
      </c>
      <c r="E274" s="88" t="s">
        <v>44</v>
      </c>
      <c r="F274" s="90">
        <v>58508.52</v>
      </c>
      <c r="G274" s="91"/>
      <c r="H274" s="92">
        <f>3627110.16/3.23</f>
        <v>1122944.3219814242</v>
      </c>
      <c r="I274" s="93"/>
      <c r="J274" s="22">
        <f t="shared" si="47"/>
        <v>58508.52</v>
      </c>
      <c r="K274" s="22">
        <f t="shared" si="48"/>
        <v>1122944.3219814242</v>
      </c>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c r="CA274" s="25"/>
      <c r="CB274" s="25"/>
      <c r="CC274" s="25"/>
      <c r="CD274" s="25"/>
      <c r="CE274" s="25"/>
      <c r="CF274" s="25"/>
      <c r="CG274" s="25"/>
      <c r="CH274" s="25"/>
      <c r="CI274" s="25"/>
      <c r="CJ274" s="25"/>
      <c r="CK274" s="25"/>
      <c r="CL274" s="25"/>
      <c r="CM274" s="25"/>
      <c r="CN274" s="25"/>
      <c r="CO274" s="25"/>
      <c r="CP274" s="25"/>
      <c r="CQ274" s="25"/>
      <c r="CR274" s="25"/>
      <c r="CS274" s="25"/>
      <c r="CT274" s="25"/>
      <c r="CU274" s="25"/>
      <c r="CV274" s="25"/>
      <c r="CW274" s="25"/>
      <c r="CX274" s="25"/>
      <c r="CY274" s="25"/>
      <c r="CZ274" s="25"/>
      <c r="DA274" s="25"/>
      <c r="DB274" s="25"/>
      <c r="DC274" s="25"/>
      <c r="DD274" s="25"/>
      <c r="DE274" s="25"/>
      <c r="DF274" s="25"/>
      <c r="DG274" s="25"/>
      <c r="DH274" s="25"/>
      <c r="DI274" s="25"/>
      <c r="DJ274" s="25"/>
    </row>
    <row r="275" spans="1:114" s="45" customFormat="1" ht="15.75" customHeight="1">
      <c r="A275" s="109">
        <f t="shared" si="49"/>
        <v>235</v>
      </c>
      <c r="B275" s="87">
        <f t="shared" si="49"/>
        <v>6</v>
      </c>
      <c r="C275" s="88" t="s">
        <v>432</v>
      </c>
      <c r="D275" s="89" t="s">
        <v>470</v>
      </c>
      <c r="E275" s="88" t="s">
        <v>428</v>
      </c>
      <c r="F275" s="90">
        <v>4475000</v>
      </c>
      <c r="G275" s="91"/>
      <c r="H275" s="92"/>
      <c r="I275" s="93"/>
      <c r="J275" s="22">
        <f t="shared" si="47"/>
        <v>4475000</v>
      </c>
      <c r="K275" s="22">
        <f t="shared" si="48"/>
        <v>0</v>
      </c>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c r="CA275" s="25"/>
      <c r="CB275" s="25"/>
      <c r="CC275" s="25"/>
      <c r="CD275" s="25"/>
      <c r="CE275" s="25"/>
      <c r="CF275" s="25"/>
      <c r="CG275" s="25"/>
      <c r="CH275" s="25"/>
      <c r="CI275" s="25"/>
      <c r="CJ275" s="25"/>
      <c r="CK275" s="25"/>
      <c r="CL275" s="25"/>
      <c r="CM275" s="25"/>
      <c r="CN275" s="25"/>
      <c r="CO275" s="25"/>
      <c r="CP275" s="25"/>
      <c r="CQ275" s="25"/>
      <c r="CR275" s="25"/>
      <c r="CS275" s="25"/>
      <c r="CT275" s="25"/>
      <c r="CU275" s="25"/>
      <c r="CV275" s="25"/>
      <c r="CW275" s="25"/>
      <c r="CX275" s="25"/>
      <c r="CY275" s="25"/>
      <c r="CZ275" s="25"/>
      <c r="DA275" s="25"/>
      <c r="DB275" s="25"/>
      <c r="DC275" s="25"/>
      <c r="DD275" s="25"/>
      <c r="DE275" s="25"/>
      <c r="DF275" s="25"/>
      <c r="DG275" s="25"/>
      <c r="DH275" s="25"/>
      <c r="DI275" s="25"/>
      <c r="DJ275" s="25"/>
    </row>
    <row r="276" spans="1:114" s="45" customFormat="1" ht="15.75" customHeight="1">
      <c r="A276" s="109">
        <f t="shared" si="49"/>
        <v>236</v>
      </c>
      <c r="B276" s="87">
        <f t="shared" si="49"/>
        <v>7</v>
      </c>
      <c r="C276" s="88" t="s">
        <v>433</v>
      </c>
      <c r="D276" s="89" t="s">
        <v>434</v>
      </c>
      <c r="E276" s="88" t="s">
        <v>3</v>
      </c>
      <c r="F276" s="90">
        <f>723155*0.46/3.251</f>
        <v>102322.76222700707</v>
      </c>
      <c r="G276" s="91"/>
      <c r="H276" s="92"/>
      <c r="I276" s="93"/>
      <c r="J276" s="22">
        <f t="shared" si="47"/>
        <v>102322.76222700707</v>
      </c>
      <c r="K276" s="22">
        <f t="shared" si="48"/>
        <v>0</v>
      </c>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c r="CA276" s="25"/>
      <c r="CB276" s="25"/>
      <c r="CC276" s="25"/>
      <c r="CD276" s="25"/>
      <c r="CE276" s="25"/>
      <c r="CF276" s="25"/>
      <c r="CG276" s="25"/>
      <c r="CH276" s="25"/>
      <c r="CI276" s="25"/>
      <c r="CJ276" s="25"/>
      <c r="CK276" s="25"/>
      <c r="CL276" s="25"/>
      <c r="CM276" s="25"/>
      <c r="CN276" s="25"/>
      <c r="CO276" s="25"/>
      <c r="CP276" s="25"/>
      <c r="CQ276" s="25"/>
      <c r="CR276" s="25"/>
      <c r="CS276" s="25"/>
      <c r="CT276" s="25"/>
      <c r="CU276" s="25"/>
      <c r="CV276" s="25"/>
      <c r="CW276" s="25"/>
      <c r="CX276" s="25"/>
      <c r="CY276" s="25"/>
      <c r="CZ276" s="25"/>
      <c r="DA276" s="25"/>
      <c r="DB276" s="25"/>
      <c r="DC276" s="25"/>
      <c r="DD276" s="25"/>
      <c r="DE276" s="25"/>
      <c r="DF276" s="25"/>
      <c r="DG276" s="25"/>
      <c r="DH276" s="25"/>
      <c r="DI276" s="25"/>
      <c r="DJ276" s="25"/>
    </row>
    <row r="277" spans="1:114" s="45" customFormat="1" ht="15.75" customHeight="1">
      <c r="A277" s="109">
        <f t="shared" si="49"/>
        <v>237</v>
      </c>
      <c r="B277" s="87">
        <f t="shared" si="49"/>
        <v>8</v>
      </c>
      <c r="C277" s="88" t="s">
        <v>405</v>
      </c>
      <c r="D277" s="89" t="s">
        <v>408</v>
      </c>
      <c r="E277" s="88" t="s">
        <v>3</v>
      </c>
      <c r="F277" s="90">
        <v>71039</v>
      </c>
      <c r="G277" s="91"/>
      <c r="H277" s="92"/>
      <c r="I277" s="93"/>
      <c r="J277" s="22">
        <f t="shared" si="47"/>
        <v>71039</v>
      </c>
      <c r="K277" s="22">
        <f t="shared" si="48"/>
        <v>0</v>
      </c>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c r="CA277" s="25"/>
      <c r="CB277" s="25"/>
      <c r="CC277" s="25"/>
      <c r="CD277" s="25"/>
      <c r="CE277" s="25"/>
      <c r="CF277" s="25"/>
      <c r="CG277" s="25"/>
      <c r="CH277" s="25"/>
      <c r="CI277" s="25"/>
      <c r="CJ277" s="25"/>
      <c r="CK277" s="25"/>
      <c r="CL277" s="25"/>
      <c r="CM277" s="25"/>
      <c r="CN277" s="25"/>
      <c r="CO277" s="25"/>
      <c r="CP277" s="25"/>
      <c r="CQ277" s="25"/>
      <c r="CR277" s="25"/>
      <c r="CS277" s="25"/>
      <c r="CT277" s="25"/>
      <c r="CU277" s="25"/>
      <c r="CV277" s="25"/>
      <c r="CW277" s="25"/>
      <c r="CX277" s="25"/>
      <c r="CY277" s="25"/>
      <c r="CZ277" s="25"/>
      <c r="DA277" s="25"/>
      <c r="DB277" s="25"/>
      <c r="DC277" s="25"/>
      <c r="DD277" s="25"/>
      <c r="DE277" s="25"/>
      <c r="DF277" s="25"/>
      <c r="DG277" s="25"/>
      <c r="DH277" s="25"/>
      <c r="DI277" s="25"/>
      <c r="DJ277" s="25"/>
    </row>
    <row r="278" spans="1:114" s="45" customFormat="1" ht="15.75" customHeight="1">
      <c r="A278" s="109">
        <f>+A277+1</f>
        <v>238</v>
      </c>
      <c r="B278" s="87">
        <f>+B277+1</f>
        <v>9</v>
      </c>
      <c r="C278" s="88" t="s">
        <v>409</v>
      </c>
      <c r="D278" s="89" t="s">
        <v>410</v>
      </c>
      <c r="E278" s="88" t="s">
        <v>427</v>
      </c>
      <c r="F278" s="90">
        <v>61300000</v>
      </c>
      <c r="G278" s="91"/>
      <c r="H278" s="92">
        <v>2500000000</v>
      </c>
      <c r="I278" s="93"/>
      <c r="J278" s="22">
        <f t="shared" si="47"/>
        <v>61300000</v>
      </c>
      <c r="K278" s="22">
        <f t="shared" si="48"/>
        <v>2500000000</v>
      </c>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c r="CA278" s="25"/>
      <c r="CB278" s="25"/>
      <c r="CC278" s="25"/>
      <c r="CD278" s="25"/>
      <c r="CE278" s="25"/>
      <c r="CF278" s="25"/>
      <c r="CG278" s="25"/>
      <c r="CH278" s="25"/>
      <c r="CI278" s="25"/>
      <c r="CJ278" s="25"/>
      <c r="CK278" s="25"/>
      <c r="CL278" s="25"/>
      <c r="CM278" s="25"/>
      <c r="CN278" s="25"/>
      <c r="CO278" s="25"/>
      <c r="CP278" s="25"/>
      <c r="CQ278" s="25"/>
      <c r="CR278" s="25"/>
      <c r="CS278" s="25"/>
      <c r="CT278" s="25"/>
      <c r="CU278" s="25"/>
      <c r="CV278" s="25"/>
      <c r="CW278" s="25"/>
      <c r="CX278" s="25"/>
      <c r="CY278" s="25"/>
      <c r="CZ278" s="25"/>
      <c r="DA278" s="25"/>
      <c r="DB278" s="25"/>
      <c r="DC278" s="25"/>
      <c r="DD278" s="25"/>
      <c r="DE278" s="25"/>
      <c r="DF278" s="25"/>
      <c r="DG278" s="25"/>
      <c r="DH278" s="25"/>
      <c r="DI278" s="25"/>
      <c r="DJ278" s="25"/>
    </row>
    <row r="279" spans="1:114" s="129" customFormat="1" ht="15.75" customHeight="1">
      <c r="A279" s="112">
        <f t="shared" si="49"/>
        <v>239</v>
      </c>
      <c r="B279" s="113">
        <f t="shared" si="49"/>
        <v>10</v>
      </c>
      <c r="C279" s="114" t="s">
        <v>407</v>
      </c>
      <c r="D279" s="115" t="s">
        <v>404</v>
      </c>
      <c r="E279" s="114" t="s">
        <v>10</v>
      </c>
      <c r="F279" s="116">
        <v>3079954.3298344226</v>
      </c>
      <c r="G279" s="117"/>
      <c r="H279" s="118"/>
      <c r="I279" s="120"/>
      <c r="J279" s="22">
        <f t="shared" si="47"/>
        <v>3079954.3298344226</v>
      </c>
      <c r="K279" s="22">
        <f t="shared" si="48"/>
        <v>0</v>
      </c>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c r="CA279" s="25"/>
      <c r="CB279" s="25"/>
      <c r="CC279" s="25"/>
      <c r="CD279" s="25"/>
      <c r="CE279" s="25"/>
      <c r="CF279" s="25"/>
      <c r="CG279" s="25"/>
      <c r="CH279" s="25"/>
      <c r="CI279" s="25"/>
      <c r="CJ279" s="25"/>
      <c r="CK279" s="25"/>
      <c r="CL279" s="25"/>
      <c r="CM279" s="25"/>
      <c r="CN279" s="25"/>
      <c r="CO279" s="25"/>
      <c r="CP279" s="25"/>
      <c r="CQ279" s="25"/>
      <c r="CR279" s="25"/>
      <c r="CS279" s="25"/>
      <c r="CT279" s="25"/>
      <c r="CU279" s="25"/>
      <c r="CV279" s="25"/>
      <c r="CW279" s="25"/>
      <c r="CX279" s="25"/>
      <c r="CY279" s="25"/>
      <c r="CZ279" s="25"/>
      <c r="DA279" s="25"/>
      <c r="DB279" s="25"/>
      <c r="DC279" s="25"/>
      <c r="DD279" s="25"/>
      <c r="DE279" s="25"/>
      <c r="DF279" s="25"/>
      <c r="DG279" s="25"/>
      <c r="DH279" s="25"/>
      <c r="DI279" s="25"/>
      <c r="DJ279" s="25"/>
    </row>
    <row r="280" spans="1:114" s="26" customFormat="1" ht="15.75" customHeight="1">
      <c r="A280" s="167" t="s">
        <v>229</v>
      </c>
      <c r="B280" s="168"/>
      <c r="C280" s="168"/>
      <c r="D280" s="168"/>
      <c r="E280" s="18"/>
      <c r="F280" s="19">
        <f>SUM(F270:F279)</f>
        <v>78384886.80738638</v>
      </c>
      <c r="G280" s="19"/>
      <c r="H280" s="20">
        <f>SUM(H270:H279)</f>
        <v>3067122944.3219814</v>
      </c>
      <c r="I280" s="21"/>
      <c r="J280" s="22"/>
      <c r="K280" s="33"/>
      <c r="L280" s="23"/>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c r="CA280" s="25"/>
      <c r="CB280" s="25"/>
      <c r="CC280" s="25"/>
      <c r="CD280" s="25"/>
      <c r="CE280" s="25"/>
      <c r="CF280" s="25"/>
      <c r="CG280" s="25"/>
      <c r="CH280" s="25"/>
      <c r="CI280" s="25"/>
      <c r="CJ280" s="25"/>
      <c r="CK280" s="25"/>
      <c r="CL280" s="25"/>
      <c r="CM280" s="25"/>
      <c r="CN280" s="25"/>
      <c r="CO280" s="25"/>
      <c r="CP280" s="25"/>
      <c r="CQ280" s="25"/>
      <c r="CR280" s="25"/>
      <c r="CS280" s="25"/>
      <c r="CT280" s="25"/>
      <c r="CU280" s="25"/>
      <c r="CV280" s="25"/>
      <c r="CW280" s="25"/>
      <c r="CX280" s="25"/>
      <c r="CY280" s="25"/>
      <c r="CZ280" s="25"/>
      <c r="DA280" s="25"/>
      <c r="DB280" s="25"/>
      <c r="DC280" s="25"/>
      <c r="DD280" s="25"/>
      <c r="DE280" s="25"/>
      <c r="DF280" s="25"/>
      <c r="DG280" s="25"/>
      <c r="DH280" s="25"/>
      <c r="DI280" s="25"/>
      <c r="DJ280" s="25"/>
    </row>
    <row r="281" spans="1:114" s="34" customFormat="1" ht="15.75" customHeight="1">
      <c r="A281" s="170">
        <v>2006</v>
      </c>
      <c r="B281" s="171"/>
      <c r="C281" s="171"/>
      <c r="D281" s="171"/>
      <c r="E281" s="171"/>
      <c r="F281" s="171"/>
      <c r="G281" s="171"/>
      <c r="H281" s="171"/>
      <c r="I281" s="172"/>
      <c r="J281" s="22">
        <f aca="true" t="shared" si="50" ref="J281:J289">+F281</f>
        <v>0</v>
      </c>
      <c r="K281" s="22">
        <f aca="true" t="shared" si="51" ref="K281:K289">+H281</f>
        <v>0</v>
      </c>
      <c r="L281" s="23"/>
      <c r="M281" s="23"/>
      <c r="N281" s="23"/>
      <c r="O281" s="23"/>
      <c r="P281" s="23"/>
      <c r="Q281" s="23"/>
      <c r="R281" s="23"/>
      <c r="S281" s="23"/>
      <c r="T281" s="23"/>
      <c r="U281" s="23"/>
      <c r="V281" s="24"/>
      <c r="W281" s="24"/>
      <c r="X281" s="24"/>
      <c r="Y281" s="24"/>
      <c r="Z281" s="24"/>
      <c r="AA281" s="24"/>
      <c r="AB281" s="24"/>
      <c r="AC281" s="24"/>
      <c r="AD281" s="24"/>
      <c r="AE281" s="24"/>
      <c r="AF281" s="24"/>
      <c r="AG281" s="24"/>
      <c r="AH281" s="24"/>
      <c r="AI281" s="24"/>
      <c r="AJ281" s="24"/>
      <c r="AK281" s="24"/>
      <c r="AL281" s="24"/>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c r="CA281" s="25"/>
      <c r="CB281" s="25"/>
      <c r="CC281" s="25"/>
      <c r="CD281" s="25"/>
      <c r="CE281" s="25"/>
      <c r="CF281" s="25"/>
      <c r="CG281" s="25"/>
      <c r="CH281" s="25"/>
      <c r="CI281" s="25"/>
      <c r="CJ281" s="25"/>
      <c r="CK281" s="25"/>
      <c r="CL281" s="25"/>
      <c r="CM281" s="25"/>
      <c r="CN281" s="25"/>
      <c r="CO281" s="25"/>
      <c r="CP281" s="25"/>
      <c r="CQ281" s="25"/>
      <c r="CR281" s="25"/>
      <c r="CS281" s="25"/>
      <c r="CT281" s="25"/>
      <c r="CU281" s="25"/>
      <c r="CV281" s="25"/>
      <c r="CW281" s="25"/>
      <c r="CX281" s="25"/>
      <c r="CY281" s="25"/>
      <c r="CZ281" s="25"/>
      <c r="DA281" s="25"/>
      <c r="DB281" s="25"/>
      <c r="DC281" s="25"/>
      <c r="DD281" s="25"/>
      <c r="DE281" s="25"/>
      <c r="DF281" s="25"/>
      <c r="DG281" s="25"/>
      <c r="DH281" s="25"/>
      <c r="DI281" s="25"/>
      <c r="DJ281" s="25"/>
    </row>
    <row r="282" spans="1:114" s="129" customFormat="1" ht="15.75" customHeight="1">
      <c r="A282" s="109">
        <f>+A279+1</f>
        <v>240</v>
      </c>
      <c r="B282" s="87">
        <v>1</v>
      </c>
      <c r="C282" s="88" t="s">
        <v>282</v>
      </c>
      <c r="D282" s="89" t="s">
        <v>278</v>
      </c>
      <c r="E282" s="88" t="s">
        <v>3</v>
      </c>
      <c r="F282" s="90">
        <f>7019383.6/3.443</f>
        <v>2038740.516990996</v>
      </c>
      <c r="G282" s="91"/>
      <c r="H282" s="92"/>
      <c r="I282" s="93"/>
      <c r="J282" s="22">
        <f t="shared" si="50"/>
        <v>2038740.516990996</v>
      </c>
      <c r="K282" s="22">
        <f t="shared" si="51"/>
        <v>0</v>
      </c>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c r="CA282" s="25"/>
      <c r="CB282" s="25"/>
      <c r="CC282" s="25"/>
      <c r="CD282" s="25"/>
      <c r="CE282" s="25"/>
      <c r="CF282" s="25"/>
      <c r="CG282" s="25"/>
      <c r="CH282" s="25"/>
      <c r="CI282" s="25"/>
      <c r="CJ282" s="25"/>
      <c r="CK282" s="25"/>
      <c r="CL282" s="25"/>
      <c r="CM282" s="25"/>
      <c r="CN282" s="25"/>
      <c r="CO282" s="25"/>
      <c r="CP282" s="25"/>
      <c r="CQ282" s="25"/>
      <c r="CR282" s="25"/>
      <c r="CS282" s="25"/>
      <c r="CT282" s="25"/>
      <c r="CU282" s="25"/>
      <c r="CV282" s="25"/>
      <c r="CW282" s="25"/>
      <c r="CX282" s="25"/>
      <c r="CY282" s="25"/>
      <c r="CZ282" s="25"/>
      <c r="DA282" s="25"/>
      <c r="DB282" s="25"/>
      <c r="DC282" s="25"/>
      <c r="DD282" s="25"/>
      <c r="DE282" s="25"/>
      <c r="DF282" s="25"/>
      <c r="DG282" s="25"/>
      <c r="DH282" s="25"/>
      <c r="DI282" s="25"/>
      <c r="DJ282" s="25"/>
    </row>
    <row r="283" spans="1:114" s="129" customFormat="1" ht="15.75" customHeight="1">
      <c r="A283" s="109">
        <f aca="true" t="shared" si="52" ref="A283:B289">+A282+1</f>
        <v>241</v>
      </c>
      <c r="B283" s="87">
        <f t="shared" si="52"/>
        <v>2</v>
      </c>
      <c r="C283" s="88" t="s">
        <v>282</v>
      </c>
      <c r="D283" s="89" t="s">
        <v>280</v>
      </c>
      <c r="E283" s="88" t="s">
        <v>3</v>
      </c>
      <c r="F283" s="90">
        <f>928542.5/3.443</f>
        <v>269689.9506244554</v>
      </c>
      <c r="G283" s="91"/>
      <c r="H283" s="92"/>
      <c r="I283" s="93"/>
      <c r="J283" s="22">
        <f t="shared" si="50"/>
        <v>269689.9506244554</v>
      </c>
      <c r="K283" s="22">
        <f t="shared" si="51"/>
        <v>0</v>
      </c>
      <c r="L283" s="24">
        <f>3039831*1.18</f>
        <v>3587000.5799999996</v>
      </c>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c r="CA283" s="25"/>
      <c r="CB283" s="25"/>
      <c r="CC283" s="25"/>
      <c r="CD283" s="25"/>
      <c r="CE283" s="25"/>
      <c r="CF283" s="25"/>
      <c r="CG283" s="25"/>
      <c r="CH283" s="25"/>
      <c r="CI283" s="25"/>
      <c r="CJ283" s="25"/>
      <c r="CK283" s="25"/>
      <c r="CL283" s="25"/>
      <c r="CM283" s="25"/>
      <c r="CN283" s="25"/>
      <c r="CO283" s="25"/>
      <c r="CP283" s="25"/>
      <c r="CQ283" s="25"/>
      <c r="CR283" s="25"/>
      <c r="CS283" s="25"/>
      <c r="CT283" s="25"/>
      <c r="CU283" s="25"/>
      <c r="CV283" s="25"/>
      <c r="CW283" s="25"/>
      <c r="CX283" s="25"/>
      <c r="CY283" s="25"/>
      <c r="CZ283" s="25"/>
      <c r="DA283" s="25"/>
      <c r="DB283" s="25"/>
      <c r="DC283" s="25"/>
      <c r="DD283" s="25"/>
      <c r="DE283" s="25"/>
      <c r="DF283" s="25"/>
      <c r="DG283" s="25"/>
      <c r="DH283" s="25"/>
      <c r="DI283" s="25"/>
      <c r="DJ283" s="25"/>
    </row>
    <row r="284" spans="1:114" s="129" customFormat="1" ht="15.75" customHeight="1">
      <c r="A284" s="109">
        <f t="shared" si="52"/>
        <v>242</v>
      </c>
      <c r="B284" s="87">
        <f t="shared" si="52"/>
        <v>3</v>
      </c>
      <c r="C284" s="88" t="s">
        <v>283</v>
      </c>
      <c r="D284" s="89" t="s">
        <v>281</v>
      </c>
      <c r="E284" s="88" t="s">
        <v>3</v>
      </c>
      <c r="F284" s="90">
        <f>39623580/3.344</f>
        <v>11849156.698564595</v>
      </c>
      <c r="G284" s="91"/>
      <c r="H284" s="92"/>
      <c r="I284" s="93"/>
      <c r="J284" s="22">
        <f t="shared" si="50"/>
        <v>11849156.698564595</v>
      </c>
      <c r="K284" s="22">
        <f t="shared" si="51"/>
        <v>0</v>
      </c>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c r="CA284" s="25"/>
      <c r="CB284" s="25"/>
      <c r="CC284" s="25"/>
      <c r="CD284" s="25"/>
      <c r="CE284" s="25"/>
      <c r="CF284" s="25"/>
      <c r="CG284" s="25"/>
      <c r="CH284" s="25"/>
      <c r="CI284" s="25"/>
      <c r="CJ284" s="25"/>
      <c r="CK284" s="25"/>
      <c r="CL284" s="25"/>
      <c r="CM284" s="25"/>
      <c r="CN284" s="25"/>
      <c r="CO284" s="25"/>
      <c r="CP284" s="25"/>
      <c r="CQ284" s="25"/>
      <c r="CR284" s="25"/>
      <c r="CS284" s="25"/>
      <c r="CT284" s="25"/>
      <c r="CU284" s="25"/>
      <c r="CV284" s="25"/>
      <c r="CW284" s="25"/>
      <c r="CX284" s="25"/>
      <c r="CY284" s="25"/>
      <c r="CZ284" s="25"/>
      <c r="DA284" s="25"/>
      <c r="DB284" s="25"/>
      <c r="DC284" s="25"/>
      <c r="DD284" s="25"/>
      <c r="DE284" s="25"/>
      <c r="DF284" s="25"/>
      <c r="DG284" s="25"/>
      <c r="DH284" s="25"/>
      <c r="DI284" s="25"/>
      <c r="DJ284" s="25"/>
    </row>
    <row r="285" spans="1:38" s="25" customFormat="1" ht="15.75" customHeight="1">
      <c r="A285" s="109">
        <f t="shared" si="52"/>
        <v>243</v>
      </c>
      <c r="B285" s="87">
        <f t="shared" si="52"/>
        <v>4</v>
      </c>
      <c r="C285" s="88" t="s">
        <v>262</v>
      </c>
      <c r="D285" s="89" t="s">
        <v>682</v>
      </c>
      <c r="E285" s="88" t="s">
        <v>538</v>
      </c>
      <c r="F285" s="90"/>
      <c r="G285" s="91"/>
      <c r="H285" s="92">
        <v>1200000</v>
      </c>
      <c r="I285" s="93"/>
      <c r="J285" s="22">
        <f t="shared" si="50"/>
        <v>0</v>
      </c>
      <c r="K285" s="22">
        <f t="shared" si="51"/>
        <v>1200000</v>
      </c>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row>
    <row r="286" spans="1:38" s="25" customFormat="1" ht="15.75" customHeight="1">
      <c r="A286" s="109">
        <f t="shared" si="52"/>
        <v>244</v>
      </c>
      <c r="B286" s="87">
        <f t="shared" si="52"/>
        <v>5</v>
      </c>
      <c r="C286" s="88" t="s">
        <v>261</v>
      </c>
      <c r="D286" s="89" t="s">
        <v>260</v>
      </c>
      <c r="E286" s="88" t="s">
        <v>426</v>
      </c>
      <c r="F286" s="90">
        <f>493725604*0.4/3.265</f>
        <v>60487057.15160797</v>
      </c>
      <c r="G286" s="91"/>
      <c r="H286" s="92">
        <v>100000000</v>
      </c>
      <c r="I286" s="93"/>
      <c r="J286" s="22">
        <f t="shared" si="50"/>
        <v>60487057.15160797</v>
      </c>
      <c r="K286" s="22">
        <f t="shared" si="51"/>
        <v>100000000</v>
      </c>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row>
    <row r="287" spans="1:38" s="25" customFormat="1" ht="15.75" customHeight="1">
      <c r="A287" s="109">
        <f t="shared" si="52"/>
        <v>245</v>
      </c>
      <c r="B287" s="87">
        <f t="shared" si="52"/>
        <v>6</v>
      </c>
      <c r="C287" s="88" t="s">
        <v>77</v>
      </c>
      <c r="D287" s="89" t="s">
        <v>404</v>
      </c>
      <c r="E287" s="88" t="s">
        <v>10</v>
      </c>
      <c r="F287" s="90">
        <v>899093</v>
      </c>
      <c r="G287" s="91"/>
      <c r="H287" s="92"/>
      <c r="I287" s="93"/>
      <c r="J287" s="22">
        <f t="shared" si="50"/>
        <v>899093</v>
      </c>
      <c r="K287" s="22">
        <f t="shared" si="51"/>
        <v>0</v>
      </c>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row>
    <row r="288" spans="1:38" s="25" customFormat="1" ht="15.75" customHeight="1">
      <c r="A288" s="109">
        <f t="shared" si="52"/>
        <v>246</v>
      </c>
      <c r="B288" s="87">
        <f t="shared" si="52"/>
        <v>7</v>
      </c>
      <c r="C288" s="88" t="s">
        <v>208</v>
      </c>
      <c r="D288" s="89" t="s">
        <v>210</v>
      </c>
      <c r="E288" s="88" t="s">
        <v>428</v>
      </c>
      <c r="F288" s="90">
        <v>17700000</v>
      </c>
      <c r="G288" s="91"/>
      <c r="H288" s="92"/>
      <c r="I288" s="93"/>
      <c r="J288" s="22">
        <f t="shared" si="50"/>
        <v>17700000</v>
      </c>
      <c r="K288" s="22">
        <f t="shared" si="51"/>
        <v>0</v>
      </c>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row>
    <row r="289" spans="1:38" s="25" customFormat="1" ht="15.75" customHeight="1">
      <c r="A289" s="112">
        <f t="shared" si="52"/>
        <v>247</v>
      </c>
      <c r="B289" s="113">
        <f t="shared" si="52"/>
        <v>8</v>
      </c>
      <c r="C289" s="114" t="s">
        <v>209</v>
      </c>
      <c r="D289" s="115" t="s">
        <v>216</v>
      </c>
      <c r="E289" s="114" t="s">
        <v>428</v>
      </c>
      <c r="F289" s="116">
        <f>49433625.78/3.251</f>
        <v>15205667.726853278</v>
      </c>
      <c r="G289" s="117"/>
      <c r="H289" s="118"/>
      <c r="I289" s="120"/>
      <c r="J289" s="22">
        <f t="shared" si="50"/>
        <v>15205667.726853278</v>
      </c>
      <c r="K289" s="22">
        <f t="shared" si="51"/>
        <v>0</v>
      </c>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row>
    <row r="290" spans="1:114" s="26" customFormat="1" ht="15.75" customHeight="1">
      <c r="A290" s="167" t="s">
        <v>415</v>
      </c>
      <c r="B290" s="168"/>
      <c r="C290" s="168"/>
      <c r="D290" s="168"/>
      <c r="E290" s="18"/>
      <c r="F290" s="19">
        <f>SUM(F282:F289)</f>
        <v>108449405.0446413</v>
      </c>
      <c r="G290" s="19"/>
      <c r="H290" s="20">
        <f>SUM(H282:H289)</f>
        <v>101200000</v>
      </c>
      <c r="I290" s="21"/>
      <c r="J290" s="22"/>
      <c r="K290" s="33"/>
      <c r="L290" s="23"/>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c r="CA290" s="25"/>
      <c r="CB290" s="25"/>
      <c r="CC290" s="25"/>
      <c r="CD290" s="25"/>
      <c r="CE290" s="25"/>
      <c r="CF290" s="25"/>
      <c r="CG290" s="25"/>
      <c r="CH290" s="25"/>
      <c r="CI290" s="25"/>
      <c r="CJ290" s="25"/>
      <c r="CK290" s="25"/>
      <c r="CL290" s="25"/>
      <c r="CM290" s="25"/>
      <c r="CN290" s="25"/>
      <c r="CO290" s="25"/>
      <c r="CP290" s="25"/>
      <c r="CQ290" s="25"/>
      <c r="CR290" s="25"/>
      <c r="CS290" s="25"/>
      <c r="CT290" s="25"/>
      <c r="CU290" s="25"/>
      <c r="CV290" s="25"/>
      <c r="CW290" s="25"/>
      <c r="CX290" s="25"/>
      <c r="CY290" s="25"/>
      <c r="CZ290" s="25"/>
      <c r="DA290" s="25"/>
      <c r="DB290" s="25"/>
      <c r="DC290" s="25"/>
      <c r="DD290" s="25"/>
      <c r="DE290" s="25"/>
      <c r="DF290" s="25"/>
      <c r="DG290" s="25"/>
      <c r="DH290" s="25"/>
      <c r="DI290" s="25"/>
      <c r="DJ290" s="25"/>
    </row>
    <row r="291" spans="1:38" s="25" customFormat="1" ht="15.75" customHeight="1">
      <c r="A291" s="170">
        <v>2007</v>
      </c>
      <c r="B291" s="171"/>
      <c r="C291" s="171"/>
      <c r="D291" s="171"/>
      <c r="E291" s="171"/>
      <c r="F291" s="171"/>
      <c r="G291" s="171"/>
      <c r="H291" s="171"/>
      <c r="I291" s="172"/>
      <c r="J291" s="22">
        <f aca="true" t="shared" si="53" ref="J291:J297">+F291</f>
        <v>0</v>
      </c>
      <c r="K291" s="22">
        <f aca="true" t="shared" si="54" ref="K291:K297">+H291</f>
        <v>0</v>
      </c>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row>
    <row r="292" spans="1:38" s="25" customFormat="1" ht="15.75" customHeight="1">
      <c r="A292" s="109">
        <f>+A289+1</f>
        <v>248</v>
      </c>
      <c r="B292" s="87">
        <v>1</v>
      </c>
      <c r="C292" s="88" t="s">
        <v>252</v>
      </c>
      <c r="D292" s="89" t="s">
        <v>404</v>
      </c>
      <c r="E292" s="88" t="s">
        <v>10</v>
      </c>
      <c r="F292" s="90">
        <v>17076525</v>
      </c>
      <c r="G292" s="91"/>
      <c r="H292" s="92"/>
      <c r="I292" s="93"/>
      <c r="J292" s="22">
        <f t="shared" si="53"/>
        <v>17076525</v>
      </c>
      <c r="K292" s="22">
        <f t="shared" si="54"/>
        <v>0</v>
      </c>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row>
    <row r="293" spans="1:38" s="25" customFormat="1" ht="15.75" customHeight="1">
      <c r="A293" s="109">
        <f aca="true" t="shared" si="55" ref="A293:B297">+A292+1</f>
        <v>249</v>
      </c>
      <c r="B293" s="87">
        <f t="shared" si="55"/>
        <v>2</v>
      </c>
      <c r="C293" s="88" t="s">
        <v>343</v>
      </c>
      <c r="D293" s="89" t="s">
        <v>211</v>
      </c>
      <c r="E293" s="88" t="s">
        <v>44</v>
      </c>
      <c r="F293" s="90">
        <v>44980.3</v>
      </c>
      <c r="G293" s="91"/>
      <c r="H293" s="92">
        <v>984375</v>
      </c>
      <c r="I293" s="93"/>
      <c r="J293" s="22">
        <f t="shared" si="53"/>
        <v>44980.3</v>
      </c>
      <c r="K293" s="22">
        <f t="shared" si="54"/>
        <v>984375</v>
      </c>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row>
    <row r="294" spans="1:38" s="25" customFormat="1" ht="15.75" customHeight="1">
      <c r="A294" s="109">
        <f t="shared" si="55"/>
        <v>250</v>
      </c>
      <c r="B294" s="87">
        <f t="shared" si="55"/>
        <v>3</v>
      </c>
      <c r="C294" s="88" t="s">
        <v>248</v>
      </c>
      <c r="D294" s="89" t="s">
        <v>250</v>
      </c>
      <c r="E294" s="88" t="s">
        <v>249</v>
      </c>
      <c r="F294" s="90">
        <v>412000000</v>
      </c>
      <c r="G294" s="91"/>
      <c r="H294" s="92">
        <v>2500000000</v>
      </c>
      <c r="I294" s="93"/>
      <c r="J294" s="22">
        <f t="shared" si="53"/>
        <v>412000000</v>
      </c>
      <c r="K294" s="22">
        <f t="shared" si="54"/>
        <v>2500000000</v>
      </c>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row>
    <row r="295" spans="1:38" s="25" customFormat="1" ht="15.75" customHeight="1">
      <c r="A295" s="109">
        <f t="shared" si="55"/>
        <v>251</v>
      </c>
      <c r="B295" s="87">
        <f t="shared" si="55"/>
        <v>4</v>
      </c>
      <c r="C295" s="88" t="s">
        <v>212</v>
      </c>
      <c r="D295" s="89" t="s">
        <v>406</v>
      </c>
      <c r="E295" s="88" t="s">
        <v>44</v>
      </c>
      <c r="F295" s="90"/>
      <c r="G295" s="91"/>
      <c r="H295" s="92">
        <v>6700000</v>
      </c>
      <c r="I295" s="93"/>
      <c r="J295" s="22">
        <f t="shared" si="53"/>
        <v>0</v>
      </c>
      <c r="K295" s="22">
        <f t="shared" si="54"/>
        <v>6700000</v>
      </c>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row>
    <row r="296" spans="1:38" s="25" customFormat="1" ht="15.75" customHeight="1">
      <c r="A296" s="109">
        <f t="shared" si="55"/>
        <v>252</v>
      </c>
      <c r="B296" s="87">
        <f t="shared" si="55"/>
        <v>5</v>
      </c>
      <c r="C296" s="88" t="s">
        <v>213</v>
      </c>
      <c r="D296" s="89" t="s">
        <v>214</v>
      </c>
      <c r="E296" s="88" t="s">
        <v>426</v>
      </c>
      <c r="F296" s="90">
        <v>63750000</v>
      </c>
      <c r="G296" s="91"/>
      <c r="H296" s="92"/>
      <c r="I296" s="93"/>
      <c r="J296" s="22">
        <f t="shared" si="53"/>
        <v>63750000</v>
      </c>
      <c r="K296" s="22">
        <f t="shared" si="54"/>
        <v>0</v>
      </c>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row>
    <row r="297" spans="1:38" s="25" customFormat="1" ht="15.75" customHeight="1">
      <c r="A297" s="112">
        <f t="shared" si="55"/>
        <v>253</v>
      </c>
      <c r="B297" s="113">
        <f t="shared" si="55"/>
        <v>6</v>
      </c>
      <c r="C297" s="114" t="s">
        <v>215</v>
      </c>
      <c r="D297" s="115" t="s">
        <v>159</v>
      </c>
      <c r="E297" s="114" t="s">
        <v>249</v>
      </c>
      <c r="F297" s="116">
        <v>460000</v>
      </c>
      <c r="G297" s="117"/>
      <c r="H297" s="118"/>
      <c r="I297" s="120"/>
      <c r="J297" s="22">
        <f t="shared" si="53"/>
        <v>460000</v>
      </c>
      <c r="K297" s="22">
        <f t="shared" si="54"/>
        <v>0</v>
      </c>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row>
    <row r="298" spans="1:114" s="26" customFormat="1" ht="15.75" customHeight="1">
      <c r="A298" s="167" t="s">
        <v>416</v>
      </c>
      <c r="B298" s="168"/>
      <c r="C298" s="168"/>
      <c r="D298" s="168"/>
      <c r="E298" s="18"/>
      <c r="F298" s="19">
        <f>SUM(F292:F297)</f>
        <v>493331505.3</v>
      </c>
      <c r="G298" s="19"/>
      <c r="H298" s="20">
        <f>SUM(H292:H297)</f>
        <v>2507684375</v>
      </c>
      <c r="I298" s="21"/>
      <c r="J298" s="22"/>
      <c r="K298" s="33"/>
      <c r="L298" s="23"/>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c r="CA298" s="25"/>
      <c r="CB298" s="25"/>
      <c r="CC298" s="25"/>
      <c r="CD298" s="25"/>
      <c r="CE298" s="25"/>
      <c r="CF298" s="25"/>
      <c r="CG298" s="25"/>
      <c r="CH298" s="25"/>
      <c r="CI298" s="25"/>
      <c r="CJ298" s="25"/>
      <c r="CK298" s="25"/>
      <c r="CL298" s="25"/>
      <c r="CM298" s="25"/>
      <c r="CN298" s="25"/>
      <c r="CO298" s="25"/>
      <c r="CP298" s="25"/>
      <c r="CQ298" s="25"/>
      <c r="CR298" s="25"/>
      <c r="CS298" s="25"/>
      <c r="CT298" s="25"/>
      <c r="CU298" s="25"/>
      <c r="CV298" s="25"/>
      <c r="CW298" s="25"/>
      <c r="CX298" s="25"/>
      <c r="CY298" s="25"/>
      <c r="CZ298" s="25"/>
      <c r="DA298" s="25"/>
      <c r="DB298" s="25"/>
      <c r="DC298" s="25"/>
      <c r="DD298" s="25"/>
      <c r="DE298" s="25"/>
      <c r="DF298" s="25"/>
      <c r="DG298" s="25"/>
      <c r="DH298" s="25"/>
      <c r="DI298" s="25"/>
      <c r="DJ298" s="25"/>
    </row>
    <row r="299" spans="1:38" s="25" customFormat="1" ht="15.75" customHeight="1">
      <c r="A299" s="170">
        <v>2008</v>
      </c>
      <c r="B299" s="171"/>
      <c r="C299" s="171"/>
      <c r="D299" s="171"/>
      <c r="E299" s="171"/>
      <c r="F299" s="171"/>
      <c r="G299" s="171"/>
      <c r="H299" s="171"/>
      <c r="I299" s="172"/>
      <c r="J299" s="22">
        <f>+F299</f>
        <v>0</v>
      </c>
      <c r="K299" s="22">
        <f>+H299</f>
        <v>0</v>
      </c>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row>
    <row r="300" spans="1:38" s="25" customFormat="1" ht="15.75" customHeight="1">
      <c r="A300" s="109">
        <f>+A297+1</f>
        <v>254</v>
      </c>
      <c r="B300" s="87">
        <v>1</v>
      </c>
      <c r="C300" s="88" t="s">
        <v>412</v>
      </c>
      <c r="D300" s="89" t="s">
        <v>404</v>
      </c>
      <c r="E300" s="88" t="s">
        <v>10</v>
      </c>
      <c r="F300" s="90">
        <v>1094285.83</v>
      </c>
      <c r="G300" s="91"/>
      <c r="H300" s="92"/>
      <c r="I300" s="93"/>
      <c r="J300" s="22">
        <f>+F300</f>
        <v>1094285.83</v>
      </c>
      <c r="K300" s="22">
        <f>+H300</f>
        <v>0</v>
      </c>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row>
    <row r="301" spans="1:38" s="25" customFormat="1" ht="15.75" customHeight="1">
      <c r="A301" s="109">
        <f>A300+1</f>
        <v>255</v>
      </c>
      <c r="B301" s="87">
        <v>2</v>
      </c>
      <c r="C301" s="88" t="s">
        <v>218</v>
      </c>
      <c r="D301" s="89" t="s">
        <v>683</v>
      </c>
      <c r="E301" s="88" t="s">
        <v>427</v>
      </c>
      <c r="F301" s="90">
        <v>2000000</v>
      </c>
      <c r="G301" s="91"/>
      <c r="H301" s="92">
        <v>2152269000</v>
      </c>
      <c r="I301" s="93"/>
      <c r="J301" s="22"/>
      <c r="K301" s="22"/>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row>
    <row r="302" spans="1:38" s="25" customFormat="1" ht="15.75" customHeight="1">
      <c r="A302" s="112">
        <f>A301+1</f>
        <v>256</v>
      </c>
      <c r="B302" s="113">
        <v>3</v>
      </c>
      <c r="C302" s="114" t="s">
        <v>190</v>
      </c>
      <c r="D302" s="115" t="s">
        <v>684</v>
      </c>
      <c r="E302" s="114" t="s">
        <v>428</v>
      </c>
      <c r="F302" s="116">
        <f>134002401/3.104</f>
        <v>43170876.61082474</v>
      </c>
      <c r="G302" s="117"/>
      <c r="H302" s="118"/>
      <c r="I302" s="120"/>
      <c r="J302" s="22"/>
      <c r="K302" s="22"/>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row>
    <row r="303" spans="1:114" s="26" customFormat="1" ht="15.75" customHeight="1">
      <c r="A303" s="167" t="s">
        <v>247</v>
      </c>
      <c r="B303" s="168"/>
      <c r="C303" s="168"/>
      <c r="D303" s="168"/>
      <c r="E303" s="18"/>
      <c r="F303" s="19">
        <f>SUM(F300:F302)</f>
        <v>46265162.44082474</v>
      </c>
      <c r="G303" s="19"/>
      <c r="H303" s="20">
        <f>SUM(H300:H302)</f>
        <v>2152269000</v>
      </c>
      <c r="I303" s="21"/>
      <c r="J303" s="22"/>
      <c r="K303" s="33"/>
      <c r="L303" s="23"/>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c r="CA303" s="25"/>
      <c r="CB303" s="25"/>
      <c r="CC303" s="25"/>
      <c r="CD303" s="25"/>
      <c r="CE303" s="25"/>
      <c r="CF303" s="25"/>
      <c r="CG303" s="25"/>
      <c r="CH303" s="25"/>
      <c r="CI303" s="25"/>
      <c r="CJ303" s="25"/>
      <c r="CK303" s="25"/>
      <c r="CL303" s="25"/>
      <c r="CM303" s="25"/>
      <c r="CN303" s="25"/>
      <c r="CO303" s="25"/>
      <c r="CP303" s="25"/>
      <c r="CQ303" s="25"/>
      <c r="CR303" s="25"/>
      <c r="CS303" s="25"/>
      <c r="CT303" s="25"/>
      <c r="CU303" s="25"/>
      <c r="CV303" s="25"/>
      <c r="CW303" s="25"/>
      <c r="CX303" s="25"/>
      <c r="CY303" s="25"/>
      <c r="CZ303" s="25"/>
      <c r="DA303" s="25"/>
      <c r="DB303" s="25"/>
      <c r="DC303" s="25"/>
      <c r="DD303" s="25"/>
      <c r="DE303" s="25"/>
      <c r="DF303" s="25"/>
      <c r="DG303" s="25"/>
      <c r="DH303" s="25"/>
      <c r="DI303" s="25"/>
      <c r="DJ303" s="25"/>
    </row>
    <row r="304" spans="1:38" s="25" customFormat="1" ht="15.75" customHeight="1">
      <c r="A304" s="170">
        <v>2009</v>
      </c>
      <c r="B304" s="171"/>
      <c r="C304" s="171"/>
      <c r="D304" s="171"/>
      <c r="E304" s="171"/>
      <c r="F304" s="171"/>
      <c r="G304" s="171"/>
      <c r="H304" s="171"/>
      <c r="I304" s="172"/>
      <c r="J304" s="22"/>
      <c r="K304" s="22"/>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row>
    <row r="305" spans="1:38" s="25" customFormat="1" ht="15.75" customHeight="1">
      <c r="A305" s="134">
        <f>+A302+1</f>
        <v>257</v>
      </c>
      <c r="B305" s="135">
        <v>1</v>
      </c>
      <c r="C305" s="136" t="s">
        <v>436</v>
      </c>
      <c r="D305" s="137" t="s">
        <v>404</v>
      </c>
      <c r="E305" s="136" t="s">
        <v>10</v>
      </c>
      <c r="F305" s="138">
        <v>850000</v>
      </c>
      <c r="G305" s="139"/>
      <c r="H305" s="140"/>
      <c r="I305" s="141"/>
      <c r="J305" s="22"/>
      <c r="K305" s="22"/>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row>
    <row r="306" spans="1:114" s="26" customFormat="1" ht="15.75" customHeight="1">
      <c r="A306" s="167" t="s">
        <v>550</v>
      </c>
      <c r="B306" s="168"/>
      <c r="C306" s="168"/>
      <c r="D306" s="168"/>
      <c r="E306" s="18"/>
      <c r="F306" s="19">
        <f>SUM(F305)</f>
        <v>850000</v>
      </c>
      <c r="G306" s="19"/>
      <c r="H306" s="20"/>
      <c r="I306" s="21"/>
      <c r="J306" s="22"/>
      <c r="K306" s="33"/>
      <c r="L306" s="23"/>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c r="CA306" s="25"/>
      <c r="CB306" s="25"/>
      <c r="CC306" s="25"/>
      <c r="CD306" s="25"/>
      <c r="CE306" s="25"/>
      <c r="CF306" s="25"/>
      <c r="CG306" s="25"/>
      <c r="CH306" s="25"/>
      <c r="CI306" s="25"/>
      <c r="CJ306" s="25"/>
      <c r="CK306" s="25"/>
      <c r="CL306" s="25"/>
      <c r="CM306" s="25"/>
      <c r="CN306" s="25"/>
      <c r="CO306" s="25"/>
      <c r="CP306" s="25"/>
      <c r="CQ306" s="25"/>
      <c r="CR306" s="25"/>
      <c r="CS306" s="25"/>
      <c r="CT306" s="25"/>
      <c r="CU306" s="25"/>
      <c r="CV306" s="25"/>
      <c r="CW306" s="25"/>
      <c r="CX306" s="25"/>
      <c r="CY306" s="25"/>
      <c r="CZ306" s="25"/>
      <c r="DA306" s="25"/>
      <c r="DB306" s="25"/>
      <c r="DC306" s="25"/>
      <c r="DD306" s="25"/>
      <c r="DE306" s="25"/>
      <c r="DF306" s="25"/>
      <c r="DG306" s="25"/>
      <c r="DH306" s="25"/>
      <c r="DI306" s="25"/>
      <c r="DJ306" s="25"/>
    </row>
    <row r="307" spans="1:38" s="25" customFormat="1" ht="15.75" customHeight="1">
      <c r="A307" s="170">
        <v>2010</v>
      </c>
      <c r="B307" s="171"/>
      <c r="C307" s="171"/>
      <c r="D307" s="171"/>
      <c r="E307" s="171"/>
      <c r="F307" s="171"/>
      <c r="G307" s="171"/>
      <c r="H307" s="171"/>
      <c r="I307" s="172"/>
      <c r="J307" s="22"/>
      <c r="K307" s="22"/>
      <c r="L307" s="23"/>
      <c r="M307" s="23"/>
      <c r="N307" s="23"/>
      <c r="O307" s="23"/>
      <c r="P307" s="23"/>
      <c r="Q307" s="23"/>
      <c r="R307" s="23"/>
      <c r="S307" s="23"/>
      <c r="T307" s="23"/>
      <c r="U307" s="23"/>
      <c r="V307" s="24"/>
      <c r="W307" s="24"/>
      <c r="X307" s="24"/>
      <c r="Y307" s="24"/>
      <c r="Z307" s="24"/>
      <c r="AA307" s="24"/>
      <c r="AB307" s="24"/>
      <c r="AC307" s="24"/>
      <c r="AD307" s="24"/>
      <c r="AE307" s="24"/>
      <c r="AF307" s="24"/>
      <c r="AG307" s="24"/>
      <c r="AH307" s="24"/>
      <c r="AI307" s="24"/>
      <c r="AJ307" s="24"/>
      <c r="AK307" s="24"/>
      <c r="AL307" s="24"/>
    </row>
    <row r="308" spans="1:38" s="25" customFormat="1" ht="15.75" customHeight="1">
      <c r="A308" s="109">
        <f>+A305+1</f>
        <v>258</v>
      </c>
      <c r="B308" s="87">
        <v>1</v>
      </c>
      <c r="C308" s="88" t="s">
        <v>279</v>
      </c>
      <c r="D308" s="89" t="s">
        <v>685</v>
      </c>
      <c r="E308" s="88" t="s">
        <v>348</v>
      </c>
      <c r="F308" s="90">
        <f>105612000/2.82</f>
        <v>37451063.82978724</v>
      </c>
      <c r="G308" s="91"/>
      <c r="H308" s="92">
        <v>300000000</v>
      </c>
      <c r="I308" s="93"/>
      <c r="J308" s="58" t="s">
        <v>447</v>
      </c>
      <c r="K308" s="22"/>
      <c r="L308" s="23"/>
      <c r="M308" s="23"/>
      <c r="N308" s="23"/>
      <c r="O308" s="23"/>
      <c r="P308" s="23"/>
      <c r="Q308" s="23"/>
      <c r="R308" s="23"/>
      <c r="S308" s="23"/>
      <c r="T308" s="23"/>
      <c r="U308" s="23"/>
      <c r="V308" s="24"/>
      <c r="W308" s="24"/>
      <c r="X308" s="24"/>
      <c r="Y308" s="24"/>
      <c r="Z308" s="24"/>
      <c r="AA308" s="24"/>
      <c r="AB308" s="24"/>
      <c r="AC308" s="24"/>
      <c r="AD308" s="24"/>
      <c r="AE308" s="24"/>
      <c r="AF308" s="24"/>
      <c r="AG308" s="24"/>
      <c r="AH308" s="24"/>
      <c r="AI308" s="24"/>
      <c r="AJ308" s="24"/>
      <c r="AK308" s="24"/>
      <c r="AL308" s="24"/>
    </row>
    <row r="309" spans="1:38" s="25" customFormat="1" ht="15.75" customHeight="1">
      <c r="A309" s="109">
        <f>A308+1</f>
        <v>259</v>
      </c>
      <c r="B309" s="87">
        <v>2</v>
      </c>
      <c r="C309" s="88" t="s">
        <v>556</v>
      </c>
      <c r="D309" s="89" t="s">
        <v>566</v>
      </c>
      <c r="E309" s="88" t="s">
        <v>427</v>
      </c>
      <c r="F309" s="90">
        <v>28500000</v>
      </c>
      <c r="G309" s="91" t="s">
        <v>558</v>
      </c>
      <c r="H309" s="92">
        <v>4170623000</v>
      </c>
      <c r="I309" s="93"/>
      <c r="J309" s="58"/>
      <c r="K309" s="22"/>
      <c r="L309" s="23"/>
      <c r="M309" s="23"/>
      <c r="N309" s="23"/>
      <c r="O309" s="23"/>
      <c r="P309" s="23"/>
      <c r="Q309" s="23"/>
      <c r="R309" s="23"/>
      <c r="S309" s="23"/>
      <c r="T309" s="23"/>
      <c r="U309" s="23"/>
      <c r="V309" s="24"/>
      <c r="W309" s="24"/>
      <c r="X309" s="24"/>
      <c r="Y309" s="24"/>
      <c r="Z309" s="24"/>
      <c r="AA309" s="24"/>
      <c r="AB309" s="24"/>
      <c r="AC309" s="24"/>
      <c r="AD309" s="24"/>
      <c r="AE309" s="24"/>
      <c r="AF309" s="24"/>
      <c r="AG309" s="24"/>
      <c r="AH309" s="24"/>
      <c r="AI309" s="24"/>
      <c r="AJ309" s="24"/>
      <c r="AK309" s="24"/>
      <c r="AL309" s="24"/>
    </row>
    <row r="310" spans="1:38" s="25" customFormat="1" ht="15.75" customHeight="1">
      <c r="A310" s="112">
        <f>A309+1</f>
        <v>260</v>
      </c>
      <c r="B310" s="113">
        <v>3</v>
      </c>
      <c r="C310" s="114" t="s">
        <v>286</v>
      </c>
      <c r="D310" s="115" t="s">
        <v>287</v>
      </c>
      <c r="E310" s="114" t="s">
        <v>288</v>
      </c>
      <c r="F310" s="116">
        <v>112000000</v>
      </c>
      <c r="G310" s="117"/>
      <c r="H310" s="118"/>
      <c r="I310" s="120"/>
      <c r="J310" s="58"/>
      <c r="K310" s="22"/>
      <c r="L310" s="23"/>
      <c r="M310" s="23"/>
      <c r="N310" s="23"/>
      <c r="O310" s="23"/>
      <c r="P310" s="23"/>
      <c r="Q310" s="23"/>
      <c r="R310" s="23"/>
      <c r="S310" s="23"/>
      <c r="T310" s="23"/>
      <c r="U310" s="23"/>
      <c r="V310" s="24"/>
      <c r="W310" s="24"/>
      <c r="X310" s="24"/>
      <c r="Y310" s="24"/>
      <c r="Z310" s="24"/>
      <c r="AA310" s="24"/>
      <c r="AB310" s="24"/>
      <c r="AC310" s="24"/>
      <c r="AD310" s="24"/>
      <c r="AE310" s="24"/>
      <c r="AF310" s="24"/>
      <c r="AG310" s="24"/>
      <c r="AH310" s="24"/>
      <c r="AI310" s="24"/>
      <c r="AJ310" s="24"/>
      <c r="AK310" s="24"/>
      <c r="AL310" s="24"/>
    </row>
    <row r="311" spans="1:114" s="26" customFormat="1" ht="15.75" customHeight="1">
      <c r="A311" s="167" t="s">
        <v>448</v>
      </c>
      <c r="B311" s="168"/>
      <c r="C311" s="168"/>
      <c r="D311" s="168"/>
      <c r="E311" s="18"/>
      <c r="F311" s="19">
        <f>SUM(F308:F310)</f>
        <v>177951063.82978725</v>
      </c>
      <c r="G311" s="19"/>
      <c r="H311" s="20">
        <f>H308+H309</f>
        <v>4470623000</v>
      </c>
      <c r="I311" s="21"/>
      <c r="J311" s="22"/>
      <c r="K311" s="33"/>
      <c r="L311" s="23"/>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c r="CA311" s="25"/>
      <c r="CB311" s="25"/>
      <c r="CC311" s="25"/>
      <c r="CD311" s="25"/>
      <c r="CE311" s="25"/>
      <c r="CF311" s="25"/>
      <c r="CG311" s="25"/>
      <c r="CH311" s="25"/>
      <c r="CI311" s="25"/>
      <c r="CJ311" s="25"/>
      <c r="CK311" s="25"/>
      <c r="CL311" s="25"/>
      <c r="CM311" s="25"/>
      <c r="CN311" s="25"/>
      <c r="CO311" s="25"/>
      <c r="CP311" s="25"/>
      <c r="CQ311" s="25"/>
      <c r="CR311" s="25"/>
      <c r="CS311" s="25"/>
      <c r="CT311" s="25"/>
      <c r="CU311" s="25"/>
      <c r="CV311" s="25"/>
      <c r="CW311" s="25"/>
      <c r="CX311" s="25"/>
      <c r="CY311" s="25"/>
      <c r="CZ311" s="25"/>
      <c r="DA311" s="25"/>
      <c r="DB311" s="25"/>
      <c r="DC311" s="25"/>
      <c r="DD311" s="25"/>
      <c r="DE311" s="25"/>
      <c r="DF311" s="25"/>
      <c r="DG311" s="25"/>
      <c r="DH311" s="25"/>
      <c r="DI311" s="25"/>
      <c r="DJ311" s="25"/>
    </row>
    <row r="312" spans="1:38" s="25" customFormat="1" ht="15.75" customHeight="1">
      <c r="A312" s="170">
        <v>2011</v>
      </c>
      <c r="B312" s="171"/>
      <c r="C312" s="171"/>
      <c r="D312" s="171"/>
      <c r="E312" s="171"/>
      <c r="F312" s="171"/>
      <c r="G312" s="171"/>
      <c r="H312" s="171"/>
      <c r="I312" s="172"/>
      <c r="J312" s="22"/>
      <c r="K312" s="22"/>
      <c r="L312" s="23"/>
      <c r="M312" s="23"/>
      <c r="N312" s="23"/>
      <c r="O312" s="23"/>
      <c r="P312" s="23"/>
      <c r="Q312" s="23"/>
      <c r="R312" s="23"/>
      <c r="S312" s="23"/>
      <c r="T312" s="23"/>
      <c r="U312" s="23"/>
      <c r="V312" s="24"/>
      <c r="W312" s="24"/>
      <c r="X312" s="24"/>
      <c r="Y312" s="24"/>
      <c r="Z312" s="24"/>
      <c r="AA312" s="24"/>
      <c r="AB312" s="24"/>
      <c r="AC312" s="24"/>
      <c r="AD312" s="24"/>
      <c r="AE312" s="24"/>
      <c r="AF312" s="24"/>
      <c r="AG312" s="24"/>
      <c r="AH312" s="24"/>
      <c r="AI312" s="24"/>
      <c r="AJ312" s="24"/>
      <c r="AK312" s="24"/>
      <c r="AL312" s="24"/>
    </row>
    <row r="313" spans="1:38" s="25" customFormat="1" ht="15.75" customHeight="1">
      <c r="A313" s="109">
        <f>A310+1</f>
        <v>261</v>
      </c>
      <c r="B313" s="87">
        <v>1</v>
      </c>
      <c r="C313" s="88" t="s">
        <v>551</v>
      </c>
      <c r="D313" s="89" t="s">
        <v>552</v>
      </c>
      <c r="E313" s="88" t="s">
        <v>44</v>
      </c>
      <c r="F313" s="90">
        <v>3657333</v>
      </c>
      <c r="G313" s="91"/>
      <c r="H313" s="92">
        <v>20000000</v>
      </c>
      <c r="I313" s="93"/>
      <c r="J313" s="22"/>
      <c r="K313" s="22"/>
      <c r="L313" s="23"/>
      <c r="M313" s="23"/>
      <c r="N313" s="23"/>
      <c r="O313" s="23"/>
      <c r="P313" s="23"/>
      <c r="Q313" s="23"/>
      <c r="R313" s="23"/>
      <c r="S313" s="23"/>
      <c r="T313" s="23"/>
      <c r="U313" s="23"/>
      <c r="V313" s="24"/>
      <c r="W313" s="24"/>
      <c r="X313" s="24"/>
      <c r="Y313" s="24"/>
      <c r="Z313" s="24"/>
      <c r="AA313" s="24"/>
      <c r="AB313" s="24"/>
      <c r="AC313" s="24"/>
      <c r="AD313" s="24"/>
      <c r="AE313" s="24"/>
      <c r="AF313" s="24"/>
      <c r="AG313" s="24"/>
      <c r="AH313" s="24"/>
      <c r="AI313" s="24"/>
      <c r="AJ313" s="24"/>
      <c r="AK313" s="24"/>
      <c r="AL313" s="24"/>
    </row>
    <row r="314" spans="1:115" s="143" customFormat="1" ht="15.75" customHeight="1">
      <c r="A314" s="109">
        <f>A313+1</f>
        <v>262</v>
      </c>
      <c r="B314" s="87">
        <v>2</v>
      </c>
      <c r="C314" s="88" t="s">
        <v>560</v>
      </c>
      <c r="D314" s="89" t="s">
        <v>563</v>
      </c>
      <c r="E314" s="88" t="s">
        <v>348</v>
      </c>
      <c r="F314" s="90">
        <v>1115000</v>
      </c>
      <c r="G314" s="91"/>
      <c r="H314" s="92"/>
      <c r="I314" s="93"/>
      <c r="J314" s="22"/>
      <c r="K314" s="22"/>
      <c r="L314" s="23"/>
      <c r="M314" s="23"/>
      <c r="N314" s="23"/>
      <c r="O314" s="23"/>
      <c r="P314" s="23"/>
      <c r="Q314" s="23"/>
      <c r="R314" s="23"/>
      <c r="S314" s="23"/>
      <c r="T314" s="23"/>
      <c r="U314" s="23"/>
      <c r="V314" s="24"/>
      <c r="W314" s="24"/>
      <c r="X314" s="24"/>
      <c r="Y314" s="24"/>
      <c r="Z314" s="24"/>
      <c r="AA314" s="24"/>
      <c r="AB314" s="24"/>
      <c r="AC314" s="24"/>
      <c r="AD314" s="24"/>
      <c r="AE314" s="24"/>
      <c r="AF314" s="24"/>
      <c r="AG314" s="24"/>
      <c r="AH314" s="24"/>
      <c r="AI314" s="24"/>
      <c r="AJ314" s="24"/>
      <c r="AK314" s="24"/>
      <c r="AL314" s="24"/>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c r="CA314" s="25"/>
      <c r="CB314" s="25"/>
      <c r="CC314" s="25"/>
      <c r="CD314" s="25"/>
      <c r="CE314" s="25"/>
      <c r="CF314" s="25"/>
      <c r="CG314" s="25"/>
      <c r="CH314" s="25"/>
      <c r="CI314" s="25"/>
      <c r="CJ314" s="25"/>
      <c r="CK314" s="25"/>
      <c r="CL314" s="25"/>
      <c r="CM314" s="25"/>
      <c r="CN314" s="25"/>
      <c r="CO314" s="25"/>
      <c r="CP314" s="25"/>
      <c r="CQ314" s="25"/>
      <c r="CR314" s="25"/>
      <c r="CS314" s="25"/>
      <c r="CT314" s="25"/>
      <c r="CU314" s="25"/>
      <c r="CV314" s="25"/>
      <c r="CW314" s="25"/>
      <c r="CX314" s="25"/>
      <c r="CY314" s="25"/>
      <c r="CZ314" s="25"/>
      <c r="DA314" s="25"/>
      <c r="DB314" s="25"/>
      <c r="DC314" s="25"/>
      <c r="DD314" s="25"/>
      <c r="DE314" s="25"/>
      <c r="DF314" s="25"/>
      <c r="DG314" s="25"/>
      <c r="DH314" s="25"/>
      <c r="DI314" s="25"/>
      <c r="DJ314" s="25"/>
      <c r="DK314" s="142"/>
    </row>
    <row r="315" spans="1:115" s="143" customFormat="1" ht="15.75" customHeight="1">
      <c r="A315" s="109">
        <v>263</v>
      </c>
      <c r="B315" s="87">
        <v>3</v>
      </c>
      <c r="C315" s="88" t="s">
        <v>562</v>
      </c>
      <c r="D315" s="89" t="s">
        <v>561</v>
      </c>
      <c r="E315" s="88" t="s">
        <v>288</v>
      </c>
      <c r="F315" s="90">
        <f>2067012.59/2.75</f>
        <v>751640.9418181819</v>
      </c>
      <c r="G315" s="91"/>
      <c r="H315" s="92"/>
      <c r="I315" s="93"/>
      <c r="J315" s="22"/>
      <c r="K315" s="22"/>
      <c r="L315" s="23"/>
      <c r="M315" s="23"/>
      <c r="N315" s="23"/>
      <c r="O315" s="23"/>
      <c r="P315" s="23"/>
      <c r="Q315" s="23"/>
      <c r="R315" s="23"/>
      <c r="S315" s="23"/>
      <c r="T315" s="23"/>
      <c r="U315" s="23"/>
      <c r="V315" s="24"/>
      <c r="W315" s="24"/>
      <c r="X315" s="24"/>
      <c r="Y315" s="24"/>
      <c r="Z315" s="24"/>
      <c r="AA315" s="24"/>
      <c r="AB315" s="24"/>
      <c r="AC315" s="24"/>
      <c r="AD315" s="24"/>
      <c r="AE315" s="24"/>
      <c r="AF315" s="24"/>
      <c r="AG315" s="24"/>
      <c r="AH315" s="24"/>
      <c r="AI315" s="24"/>
      <c r="AJ315" s="24"/>
      <c r="AK315" s="24"/>
      <c r="AL315" s="24"/>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c r="CA315" s="25"/>
      <c r="CB315" s="25"/>
      <c r="CC315" s="25"/>
      <c r="CD315" s="25"/>
      <c r="CE315" s="25"/>
      <c r="CF315" s="25"/>
      <c r="CG315" s="25"/>
      <c r="CH315" s="25"/>
      <c r="CI315" s="25"/>
      <c r="CJ315" s="25"/>
      <c r="CK315" s="25"/>
      <c r="CL315" s="25"/>
      <c r="CM315" s="25"/>
      <c r="CN315" s="25"/>
      <c r="CO315" s="25"/>
      <c r="CP315" s="25"/>
      <c r="CQ315" s="25"/>
      <c r="CR315" s="25"/>
      <c r="CS315" s="25"/>
      <c r="CT315" s="25"/>
      <c r="CU315" s="25"/>
      <c r="CV315" s="25"/>
      <c r="CW315" s="25"/>
      <c r="CX315" s="25"/>
      <c r="CY315" s="25"/>
      <c r="CZ315" s="25"/>
      <c r="DA315" s="25"/>
      <c r="DB315" s="25"/>
      <c r="DC315" s="25"/>
      <c r="DD315" s="25"/>
      <c r="DE315" s="25"/>
      <c r="DF315" s="25"/>
      <c r="DG315" s="25"/>
      <c r="DH315" s="25"/>
      <c r="DI315" s="25"/>
      <c r="DJ315" s="25"/>
      <c r="DK315" s="142"/>
    </row>
    <row r="316" spans="1:115" s="143" customFormat="1" ht="15.75" customHeight="1">
      <c r="A316" s="112">
        <v>264</v>
      </c>
      <c r="B316" s="113">
        <v>4</v>
      </c>
      <c r="C316" s="114" t="s">
        <v>565</v>
      </c>
      <c r="D316" s="115" t="s">
        <v>564</v>
      </c>
      <c r="E316" s="114" t="s">
        <v>348</v>
      </c>
      <c r="F316" s="116">
        <v>1945000</v>
      </c>
      <c r="G316" s="117"/>
      <c r="H316" s="118"/>
      <c r="I316" s="120"/>
      <c r="J316" s="22"/>
      <c r="K316" s="22"/>
      <c r="L316" s="23"/>
      <c r="M316" s="23"/>
      <c r="N316" s="23"/>
      <c r="O316" s="23"/>
      <c r="P316" s="23"/>
      <c r="Q316" s="23"/>
      <c r="R316" s="23"/>
      <c r="S316" s="23"/>
      <c r="T316" s="23"/>
      <c r="U316" s="23"/>
      <c r="V316" s="24"/>
      <c r="W316" s="24"/>
      <c r="X316" s="24"/>
      <c r="Y316" s="24"/>
      <c r="Z316" s="24"/>
      <c r="AA316" s="24"/>
      <c r="AB316" s="24"/>
      <c r="AC316" s="24"/>
      <c r="AD316" s="24"/>
      <c r="AE316" s="24"/>
      <c r="AF316" s="24"/>
      <c r="AG316" s="24"/>
      <c r="AH316" s="24"/>
      <c r="AI316" s="24"/>
      <c r="AJ316" s="24"/>
      <c r="AK316" s="24"/>
      <c r="AL316" s="24"/>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c r="CA316" s="25"/>
      <c r="CB316" s="25"/>
      <c r="CC316" s="25"/>
      <c r="CD316" s="25"/>
      <c r="CE316" s="25"/>
      <c r="CF316" s="25"/>
      <c r="CG316" s="25"/>
      <c r="CH316" s="25"/>
      <c r="CI316" s="25"/>
      <c r="CJ316" s="25"/>
      <c r="CK316" s="25"/>
      <c r="CL316" s="25"/>
      <c r="CM316" s="25"/>
      <c r="CN316" s="25"/>
      <c r="CO316" s="25"/>
      <c r="CP316" s="25"/>
      <c r="CQ316" s="25"/>
      <c r="CR316" s="25"/>
      <c r="CS316" s="25"/>
      <c r="CT316" s="25"/>
      <c r="CU316" s="25"/>
      <c r="CV316" s="25"/>
      <c r="CW316" s="25"/>
      <c r="CX316" s="25"/>
      <c r="CY316" s="25"/>
      <c r="CZ316" s="25"/>
      <c r="DA316" s="25"/>
      <c r="DB316" s="25"/>
      <c r="DC316" s="25"/>
      <c r="DD316" s="25"/>
      <c r="DE316" s="25"/>
      <c r="DF316" s="25"/>
      <c r="DG316" s="25"/>
      <c r="DH316" s="25"/>
      <c r="DI316" s="25"/>
      <c r="DJ316" s="25"/>
      <c r="DK316" s="142"/>
    </row>
    <row r="317" spans="1:114" s="26" customFormat="1" ht="15.75" customHeight="1">
      <c r="A317" s="167" t="s">
        <v>557</v>
      </c>
      <c r="B317" s="168"/>
      <c r="C317" s="168"/>
      <c r="D317" s="168"/>
      <c r="E317" s="18"/>
      <c r="F317" s="19">
        <f>F313+F314+F315+F316</f>
        <v>7468973.941818181</v>
      </c>
      <c r="G317" s="19"/>
      <c r="H317" s="20">
        <v>20000000</v>
      </c>
      <c r="I317" s="21"/>
      <c r="J317" s="22"/>
      <c r="K317" s="33"/>
      <c r="L317" s="23"/>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c r="CA317" s="25"/>
      <c r="CB317" s="25"/>
      <c r="CC317" s="25"/>
      <c r="CD317" s="25"/>
      <c r="CE317" s="25"/>
      <c r="CF317" s="25"/>
      <c r="CG317" s="25"/>
      <c r="CH317" s="25"/>
      <c r="CI317" s="25"/>
      <c r="CJ317" s="25"/>
      <c r="CK317" s="25"/>
      <c r="CL317" s="25"/>
      <c r="CM317" s="25"/>
      <c r="CN317" s="25"/>
      <c r="CO317" s="25"/>
      <c r="CP317" s="25"/>
      <c r="CQ317" s="25"/>
      <c r="CR317" s="25"/>
      <c r="CS317" s="25"/>
      <c r="CT317" s="25"/>
      <c r="CU317" s="25"/>
      <c r="CV317" s="25"/>
      <c r="CW317" s="25"/>
      <c r="CX317" s="25"/>
      <c r="CY317" s="25"/>
      <c r="CZ317" s="25"/>
      <c r="DA317" s="25"/>
      <c r="DB317" s="25"/>
      <c r="DC317" s="25"/>
      <c r="DD317" s="25"/>
      <c r="DE317" s="25"/>
      <c r="DF317" s="25"/>
      <c r="DG317" s="25"/>
      <c r="DH317" s="25"/>
      <c r="DI317" s="25"/>
      <c r="DJ317" s="25"/>
    </row>
    <row r="318" spans="1:38" s="25" customFormat="1" ht="15.75" customHeight="1">
      <c r="A318" s="170">
        <v>2012</v>
      </c>
      <c r="B318" s="171"/>
      <c r="C318" s="171"/>
      <c r="D318" s="171"/>
      <c r="E318" s="171"/>
      <c r="F318" s="171"/>
      <c r="G318" s="171"/>
      <c r="H318" s="171"/>
      <c r="I318" s="172"/>
      <c r="J318" s="22"/>
      <c r="K318" s="22"/>
      <c r="L318" s="23"/>
      <c r="M318" s="23"/>
      <c r="N318" s="23"/>
      <c r="O318" s="23"/>
      <c r="P318" s="23"/>
      <c r="Q318" s="23"/>
      <c r="R318" s="23"/>
      <c r="S318" s="23"/>
      <c r="T318" s="23"/>
      <c r="U318" s="23"/>
      <c r="V318" s="24"/>
      <c r="W318" s="24"/>
      <c r="X318" s="24"/>
      <c r="Y318" s="24"/>
      <c r="Z318" s="24"/>
      <c r="AA318" s="24"/>
      <c r="AB318" s="24"/>
      <c r="AC318" s="24"/>
      <c r="AD318" s="24"/>
      <c r="AE318" s="24"/>
      <c r="AF318" s="24"/>
      <c r="AG318" s="24"/>
      <c r="AH318" s="24"/>
      <c r="AI318" s="24"/>
      <c r="AJ318" s="24"/>
      <c r="AK318" s="24"/>
      <c r="AL318" s="24"/>
    </row>
    <row r="319" spans="1:115" s="143" customFormat="1" ht="15.75" customHeight="1">
      <c r="A319" s="109">
        <f>A316+1</f>
        <v>265</v>
      </c>
      <c r="B319" s="87">
        <v>1</v>
      </c>
      <c r="C319" s="88" t="s">
        <v>572</v>
      </c>
      <c r="D319" s="89" t="s">
        <v>575</v>
      </c>
      <c r="E319" s="88" t="s">
        <v>288</v>
      </c>
      <c r="F319" s="90">
        <f>6500000/2.668</f>
        <v>2436281.8590704645</v>
      </c>
      <c r="G319" s="91"/>
      <c r="H319" s="92"/>
      <c r="I319" s="93"/>
      <c r="J319" s="22"/>
      <c r="K319" s="22"/>
      <c r="L319" s="23"/>
      <c r="M319" s="23"/>
      <c r="N319" s="23"/>
      <c r="O319" s="23"/>
      <c r="P319" s="23"/>
      <c r="Q319" s="23"/>
      <c r="R319" s="23"/>
      <c r="S319" s="23"/>
      <c r="T319" s="23"/>
      <c r="U319" s="23"/>
      <c r="V319" s="24"/>
      <c r="W319" s="24"/>
      <c r="X319" s="24"/>
      <c r="Y319" s="24"/>
      <c r="Z319" s="24"/>
      <c r="AA319" s="24"/>
      <c r="AB319" s="24"/>
      <c r="AC319" s="24"/>
      <c r="AD319" s="24"/>
      <c r="AE319" s="24"/>
      <c r="AF319" s="24"/>
      <c r="AG319" s="24"/>
      <c r="AH319" s="24"/>
      <c r="AI319" s="24"/>
      <c r="AJ319" s="24"/>
      <c r="AK319" s="24"/>
      <c r="AL319" s="24"/>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c r="CA319" s="25"/>
      <c r="CB319" s="25"/>
      <c r="CC319" s="25"/>
      <c r="CD319" s="25"/>
      <c r="CE319" s="25"/>
      <c r="CF319" s="25"/>
      <c r="CG319" s="25"/>
      <c r="CH319" s="25"/>
      <c r="CI319" s="25"/>
      <c r="CJ319" s="25"/>
      <c r="CK319" s="25"/>
      <c r="CL319" s="25"/>
      <c r="CM319" s="25"/>
      <c r="CN319" s="25"/>
      <c r="CO319" s="25"/>
      <c r="CP319" s="25"/>
      <c r="CQ319" s="25"/>
      <c r="CR319" s="25"/>
      <c r="CS319" s="25"/>
      <c r="CT319" s="25"/>
      <c r="CU319" s="25"/>
      <c r="CV319" s="25"/>
      <c r="CW319" s="25"/>
      <c r="CX319" s="25"/>
      <c r="CY319" s="25"/>
      <c r="CZ319" s="25"/>
      <c r="DA319" s="25"/>
      <c r="DB319" s="25"/>
      <c r="DC319" s="25"/>
      <c r="DD319" s="25"/>
      <c r="DE319" s="25"/>
      <c r="DF319" s="25"/>
      <c r="DG319" s="25"/>
      <c r="DH319" s="25"/>
      <c r="DI319" s="25"/>
      <c r="DJ319" s="25"/>
      <c r="DK319" s="142"/>
    </row>
    <row r="320" spans="1:115" s="143" customFormat="1" ht="15.75" customHeight="1">
      <c r="A320" s="109">
        <f>A319+1</f>
        <v>266</v>
      </c>
      <c r="B320" s="87">
        <v>2</v>
      </c>
      <c r="C320" s="88" t="s">
        <v>573</v>
      </c>
      <c r="D320" s="89" t="s">
        <v>574</v>
      </c>
      <c r="E320" s="88" t="s">
        <v>288</v>
      </c>
      <c r="F320" s="90">
        <f>46080620/2.69</f>
        <v>17130342.007434946</v>
      </c>
      <c r="G320" s="91"/>
      <c r="H320" s="92"/>
      <c r="I320" s="93"/>
      <c r="J320" s="22"/>
      <c r="K320" s="22"/>
      <c r="L320" s="23"/>
      <c r="M320" s="23"/>
      <c r="N320" s="23"/>
      <c r="O320" s="23"/>
      <c r="P320" s="23"/>
      <c r="Q320" s="23"/>
      <c r="R320" s="23"/>
      <c r="S320" s="23"/>
      <c r="T320" s="23"/>
      <c r="U320" s="23"/>
      <c r="V320" s="24"/>
      <c r="W320" s="24"/>
      <c r="X320" s="24"/>
      <c r="Y320" s="24"/>
      <c r="Z320" s="24"/>
      <c r="AA320" s="24"/>
      <c r="AB320" s="24"/>
      <c r="AC320" s="24"/>
      <c r="AD320" s="24"/>
      <c r="AE320" s="24"/>
      <c r="AF320" s="24"/>
      <c r="AG320" s="24"/>
      <c r="AH320" s="24"/>
      <c r="AI320" s="24"/>
      <c r="AJ320" s="24"/>
      <c r="AK320" s="24"/>
      <c r="AL320" s="24"/>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c r="CA320" s="25"/>
      <c r="CB320" s="25"/>
      <c r="CC320" s="25"/>
      <c r="CD320" s="25"/>
      <c r="CE320" s="25"/>
      <c r="CF320" s="25"/>
      <c r="CG320" s="25"/>
      <c r="CH320" s="25"/>
      <c r="CI320" s="25"/>
      <c r="CJ320" s="25"/>
      <c r="CK320" s="25"/>
      <c r="CL320" s="25"/>
      <c r="CM320" s="25"/>
      <c r="CN320" s="25"/>
      <c r="CO320" s="25"/>
      <c r="CP320" s="25"/>
      <c r="CQ320" s="25"/>
      <c r="CR320" s="25"/>
      <c r="CS320" s="25"/>
      <c r="CT320" s="25"/>
      <c r="CU320" s="25"/>
      <c r="CV320" s="25"/>
      <c r="CW320" s="25"/>
      <c r="CX320" s="25"/>
      <c r="CY320" s="25"/>
      <c r="CZ320" s="25"/>
      <c r="DA320" s="25"/>
      <c r="DB320" s="25"/>
      <c r="DC320" s="25"/>
      <c r="DD320" s="25"/>
      <c r="DE320" s="25"/>
      <c r="DF320" s="25"/>
      <c r="DG320" s="25"/>
      <c r="DH320" s="25"/>
      <c r="DI320" s="25"/>
      <c r="DJ320" s="25"/>
      <c r="DK320" s="142"/>
    </row>
    <row r="321" spans="1:115" s="143" customFormat="1" ht="15.75" customHeight="1">
      <c r="A321" s="109">
        <f>A320+1</f>
        <v>267</v>
      </c>
      <c r="B321" s="87">
        <v>3</v>
      </c>
      <c r="C321" s="121">
        <v>41214</v>
      </c>
      <c r="D321" s="97" t="s">
        <v>576</v>
      </c>
      <c r="E321" s="88" t="s">
        <v>348</v>
      </c>
      <c r="F321" s="90">
        <f>(412400/2.56)+(273000/2.58)</f>
        <v>266907.7034883721</v>
      </c>
      <c r="G321" s="91"/>
      <c r="H321" s="92"/>
      <c r="I321" s="93"/>
      <c r="J321" s="22"/>
      <c r="K321" s="22"/>
      <c r="L321" s="23"/>
      <c r="M321" s="23"/>
      <c r="N321" s="23"/>
      <c r="O321" s="23"/>
      <c r="P321" s="23"/>
      <c r="Q321" s="23"/>
      <c r="R321" s="23"/>
      <c r="S321" s="23"/>
      <c r="T321" s="23"/>
      <c r="U321" s="23"/>
      <c r="V321" s="24"/>
      <c r="W321" s="24"/>
      <c r="X321" s="24"/>
      <c r="Y321" s="24"/>
      <c r="Z321" s="24"/>
      <c r="AA321" s="24"/>
      <c r="AB321" s="24"/>
      <c r="AC321" s="24"/>
      <c r="AD321" s="24"/>
      <c r="AE321" s="24"/>
      <c r="AF321" s="24"/>
      <c r="AG321" s="24"/>
      <c r="AH321" s="24"/>
      <c r="AI321" s="24"/>
      <c r="AJ321" s="24"/>
      <c r="AK321" s="24"/>
      <c r="AL321" s="24"/>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c r="CA321" s="25"/>
      <c r="CB321" s="25"/>
      <c r="CC321" s="25"/>
      <c r="CD321" s="25"/>
      <c r="CE321" s="25"/>
      <c r="CF321" s="25"/>
      <c r="CG321" s="25"/>
      <c r="CH321" s="25"/>
      <c r="CI321" s="25"/>
      <c r="CJ321" s="25"/>
      <c r="CK321" s="25"/>
      <c r="CL321" s="25"/>
      <c r="CM321" s="25"/>
      <c r="CN321" s="25"/>
      <c r="CO321" s="25"/>
      <c r="CP321" s="25"/>
      <c r="CQ321" s="25"/>
      <c r="CR321" s="25"/>
      <c r="CS321" s="25"/>
      <c r="CT321" s="25"/>
      <c r="CU321" s="25"/>
      <c r="CV321" s="25"/>
      <c r="CW321" s="25"/>
      <c r="CX321" s="25"/>
      <c r="CY321" s="25"/>
      <c r="CZ321" s="25"/>
      <c r="DA321" s="25"/>
      <c r="DB321" s="25"/>
      <c r="DC321" s="25"/>
      <c r="DD321" s="25"/>
      <c r="DE321" s="25"/>
      <c r="DF321" s="25"/>
      <c r="DG321" s="25"/>
      <c r="DH321" s="25"/>
      <c r="DI321" s="25"/>
      <c r="DJ321" s="25"/>
      <c r="DK321" s="142"/>
    </row>
    <row r="322" spans="1:114" s="26" customFormat="1" ht="15.75" customHeight="1">
      <c r="A322" s="167" t="s">
        <v>571</v>
      </c>
      <c r="B322" s="168"/>
      <c r="C322" s="168"/>
      <c r="D322" s="168"/>
      <c r="E322" s="18"/>
      <c r="F322" s="19">
        <f>F319+F320+F321</f>
        <v>19833531.569993783</v>
      </c>
      <c r="G322" s="19"/>
      <c r="H322" s="20">
        <f>SUM(H319:H321)</f>
        <v>0</v>
      </c>
      <c r="I322" s="21"/>
      <c r="J322" s="22"/>
      <c r="K322" s="33"/>
      <c r="L322" s="23"/>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c r="CA322" s="25"/>
      <c r="CB322" s="25"/>
      <c r="CC322" s="25"/>
      <c r="CD322" s="25"/>
      <c r="CE322" s="25"/>
      <c r="CF322" s="25"/>
      <c r="CG322" s="25"/>
      <c r="CH322" s="25"/>
      <c r="CI322" s="25"/>
      <c r="CJ322" s="25"/>
      <c r="CK322" s="25"/>
      <c r="CL322" s="25"/>
      <c r="CM322" s="25"/>
      <c r="CN322" s="25"/>
      <c r="CO322" s="25"/>
      <c r="CP322" s="25"/>
      <c r="CQ322" s="25"/>
      <c r="CR322" s="25"/>
      <c r="CS322" s="25"/>
      <c r="CT322" s="25"/>
      <c r="CU322" s="25"/>
      <c r="CV322" s="25"/>
      <c r="CW322" s="25"/>
      <c r="CX322" s="25"/>
      <c r="CY322" s="25"/>
      <c r="CZ322" s="25"/>
      <c r="DA322" s="25"/>
      <c r="DB322" s="25"/>
      <c r="DC322" s="25"/>
      <c r="DD322" s="25"/>
      <c r="DE322" s="25"/>
      <c r="DF322" s="25"/>
      <c r="DG322" s="25"/>
      <c r="DH322" s="25"/>
      <c r="DI322" s="25"/>
      <c r="DJ322" s="25"/>
    </row>
    <row r="323" spans="1:38" s="25" customFormat="1" ht="15.75" customHeight="1">
      <c r="A323" s="170">
        <v>2013</v>
      </c>
      <c r="B323" s="171"/>
      <c r="C323" s="171"/>
      <c r="D323" s="171"/>
      <c r="E323" s="171"/>
      <c r="F323" s="171"/>
      <c r="G323" s="171"/>
      <c r="H323" s="171"/>
      <c r="I323" s="172"/>
      <c r="J323" s="22"/>
      <c r="K323" s="22"/>
      <c r="L323" s="23"/>
      <c r="M323" s="23"/>
      <c r="N323" s="23"/>
      <c r="O323" s="23"/>
      <c r="P323" s="23"/>
      <c r="Q323" s="23"/>
      <c r="R323" s="23"/>
      <c r="S323" s="23"/>
      <c r="T323" s="23"/>
      <c r="U323" s="23"/>
      <c r="V323" s="24"/>
      <c r="W323" s="24"/>
      <c r="X323" s="24"/>
      <c r="Y323" s="24"/>
      <c r="Z323" s="24"/>
      <c r="AA323" s="24"/>
      <c r="AB323" s="24"/>
      <c r="AC323" s="24"/>
      <c r="AD323" s="24"/>
      <c r="AE323" s="24"/>
      <c r="AF323" s="24"/>
      <c r="AG323" s="24"/>
      <c r="AH323" s="24"/>
      <c r="AI323" s="24"/>
      <c r="AJ323" s="24"/>
      <c r="AK323" s="24"/>
      <c r="AL323" s="24"/>
    </row>
    <row r="324" spans="1:115" s="143" customFormat="1" ht="15.75" customHeight="1">
      <c r="A324" s="109">
        <f>A321+1</f>
        <v>268</v>
      </c>
      <c r="B324" s="87">
        <v>1</v>
      </c>
      <c r="C324" s="88" t="s">
        <v>577</v>
      </c>
      <c r="D324" s="97" t="s">
        <v>578</v>
      </c>
      <c r="E324" s="88" t="s">
        <v>348</v>
      </c>
      <c r="F324" s="98">
        <v>12200000</v>
      </c>
      <c r="G324" s="91"/>
      <c r="H324" s="92"/>
      <c r="I324" s="93"/>
      <c r="J324" s="22"/>
      <c r="K324" s="22"/>
      <c r="L324" s="23"/>
      <c r="M324" s="23"/>
      <c r="N324" s="23"/>
      <c r="O324" s="23"/>
      <c r="P324" s="23"/>
      <c r="Q324" s="23"/>
      <c r="R324" s="23"/>
      <c r="S324" s="23"/>
      <c r="T324" s="23"/>
      <c r="U324" s="23"/>
      <c r="V324" s="24"/>
      <c r="W324" s="24"/>
      <c r="X324" s="24"/>
      <c r="Y324" s="24"/>
      <c r="Z324" s="24"/>
      <c r="AA324" s="24"/>
      <c r="AB324" s="24"/>
      <c r="AC324" s="24"/>
      <c r="AD324" s="24"/>
      <c r="AE324" s="24"/>
      <c r="AF324" s="24"/>
      <c r="AG324" s="24"/>
      <c r="AH324" s="24"/>
      <c r="AI324" s="24"/>
      <c r="AJ324" s="24"/>
      <c r="AK324" s="24"/>
      <c r="AL324" s="24"/>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c r="CA324" s="25"/>
      <c r="CB324" s="25"/>
      <c r="CC324" s="25"/>
      <c r="CD324" s="25"/>
      <c r="CE324" s="25"/>
      <c r="CF324" s="25"/>
      <c r="CG324" s="25"/>
      <c r="CH324" s="25"/>
      <c r="CI324" s="25"/>
      <c r="CJ324" s="25"/>
      <c r="CK324" s="25"/>
      <c r="CL324" s="25"/>
      <c r="CM324" s="25"/>
      <c r="CN324" s="25"/>
      <c r="CO324" s="25"/>
      <c r="CP324" s="25"/>
      <c r="CQ324" s="25"/>
      <c r="CR324" s="25"/>
      <c r="CS324" s="25"/>
      <c r="CT324" s="25"/>
      <c r="CU324" s="25"/>
      <c r="CV324" s="25"/>
      <c r="CW324" s="25"/>
      <c r="CX324" s="25"/>
      <c r="CY324" s="25"/>
      <c r="CZ324" s="25"/>
      <c r="DA324" s="25"/>
      <c r="DB324" s="25"/>
      <c r="DC324" s="25"/>
      <c r="DD324" s="25"/>
      <c r="DE324" s="25"/>
      <c r="DF324" s="25"/>
      <c r="DG324" s="25"/>
      <c r="DH324" s="25"/>
      <c r="DI324" s="25"/>
      <c r="DJ324" s="25"/>
      <c r="DK324" s="142"/>
    </row>
    <row r="325" spans="1:114" s="26" customFormat="1" ht="25.5" customHeight="1">
      <c r="A325" s="112">
        <f>A324+1</f>
        <v>269</v>
      </c>
      <c r="B325" s="113">
        <f>+B324+1</f>
        <v>2</v>
      </c>
      <c r="C325" s="144" t="s">
        <v>581</v>
      </c>
      <c r="D325" s="128" t="s">
        <v>580</v>
      </c>
      <c r="E325" s="114" t="s">
        <v>288</v>
      </c>
      <c r="F325" s="116">
        <f>134315.61+3591.81+(5708.45/2.79)</f>
        <v>139953.45942652327</v>
      </c>
      <c r="G325" s="117"/>
      <c r="H325" s="145"/>
      <c r="I325" s="120"/>
      <c r="J325" s="22"/>
      <c r="K325" s="22"/>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c r="CA325" s="25"/>
      <c r="CB325" s="25"/>
      <c r="CC325" s="25"/>
      <c r="CD325" s="25"/>
      <c r="CE325" s="25"/>
      <c r="CF325" s="25"/>
      <c r="CG325" s="25"/>
      <c r="CH325" s="25"/>
      <c r="CI325" s="25"/>
      <c r="CJ325" s="25"/>
      <c r="CK325" s="25"/>
      <c r="CL325" s="25"/>
      <c r="CM325" s="25"/>
      <c r="CN325" s="25"/>
      <c r="CO325" s="25"/>
      <c r="CP325" s="25"/>
      <c r="CQ325" s="25"/>
      <c r="CR325" s="25"/>
      <c r="CS325" s="25"/>
      <c r="CT325" s="25"/>
      <c r="CU325" s="25"/>
      <c r="CV325" s="25"/>
      <c r="CW325" s="25"/>
      <c r="CX325" s="25"/>
      <c r="CY325" s="25"/>
      <c r="CZ325" s="25"/>
      <c r="DA325" s="25"/>
      <c r="DB325" s="25"/>
      <c r="DC325" s="25"/>
      <c r="DD325" s="25"/>
      <c r="DE325" s="25"/>
      <c r="DF325" s="25"/>
      <c r="DG325" s="25"/>
      <c r="DH325" s="25"/>
      <c r="DI325" s="25"/>
      <c r="DJ325" s="25"/>
    </row>
    <row r="326" spans="1:114" s="26" customFormat="1" ht="15.75" customHeight="1">
      <c r="A326" s="167" t="s">
        <v>579</v>
      </c>
      <c r="B326" s="168"/>
      <c r="C326" s="168"/>
      <c r="D326" s="168"/>
      <c r="E326" s="18"/>
      <c r="F326" s="19">
        <f>SUM(F324:F325)</f>
        <v>12339953.459426524</v>
      </c>
      <c r="G326" s="19"/>
      <c r="H326" s="20">
        <f>SUM(H324:H325)</f>
        <v>0</v>
      </c>
      <c r="I326" s="21"/>
      <c r="J326" s="22"/>
      <c r="K326" s="33"/>
      <c r="L326" s="23"/>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c r="CA326" s="25"/>
      <c r="CB326" s="25"/>
      <c r="CC326" s="25"/>
      <c r="CD326" s="25"/>
      <c r="CE326" s="25"/>
      <c r="CF326" s="25"/>
      <c r="CG326" s="25"/>
      <c r="CH326" s="25"/>
      <c r="CI326" s="25"/>
      <c r="CJ326" s="25"/>
      <c r="CK326" s="25"/>
      <c r="CL326" s="25"/>
      <c r="CM326" s="25"/>
      <c r="CN326" s="25"/>
      <c r="CO326" s="25"/>
      <c r="CP326" s="25"/>
      <c r="CQ326" s="25"/>
      <c r="CR326" s="25"/>
      <c r="CS326" s="25"/>
      <c r="CT326" s="25"/>
      <c r="CU326" s="25"/>
      <c r="CV326" s="25"/>
      <c r="CW326" s="25"/>
      <c r="CX326" s="25"/>
      <c r="CY326" s="25"/>
      <c r="CZ326" s="25"/>
      <c r="DA326" s="25"/>
      <c r="DB326" s="25"/>
      <c r="DC326" s="25"/>
      <c r="DD326" s="25"/>
      <c r="DE326" s="25"/>
      <c r="DF326" s="25"/>
      <c r="DG326" s="25"/>
      <c r="DH326" s="25"/>
      <c r="DI326" s="25"/>
      <c r="DJ326" s="25"/>
    </row>
    <row r="327" spans="1:38" s="25" customFormat="1" ht="15.75" customHeight="1">
      <c r="A327" s="170">
        <v>2014</v>
      </c>
      <c r="B327" s="171"/>
      <c r="C327" s="171"/>
      <c r="D327" s="171"/>
      <c r="E327" s="171"/>
      <c r="F327" s="171"/>
      <c r="G327" s="171"/>
      <c r="H327" s="171"/>
      <c r="I327" s="172"/>
      <c r="J327" s="22"/>
      <c r="K327" s="22"/>
      <c r="L327" s="23"/>
      <c r="M327" s="23"/>
      <c r="N327" s="23"/>
      <c r="O327" s="23"/>
      <c r="P327" s="23"/>
      <c r="Q327" s="23"/>
      <c r="R327" s="23"/>
      <c r="S327" s="23"/>
      <c r="T327" s="23"/>
      <c r="U327" s="23"/>
      <c r="V327" s="24"/>
      <c r="W327" s="24"/>
      <c r="X327" s="24"/>
      <c r="Y327" s="24"/>
      <c r="Z327" s="24"/>
      <c r="AA327" s="24"/>
      <c r="AB327" s="24"/>
      <c r="AC327" s="24"/>
      <c r="AD327" s="24"/>
      <c r="AE327" s="24"/>
      <c r="AF327" s="24"/>
      <c r="AG327" s="24"/>
      <c r="AH327" s="24"/>
      <c r="AI327" s="24"/>
      <c r="AJ327" s="24"/>
      <c r="AK327" s="24"/>
      <c r="AL327" s="24"/>
    </row>
    <row r="328" spans="1:115" s="143" customFormat="1" ht="30.75" customHeight="1">
      <c r="A328" s="109">
        <f>A325+1</f>
        <v>270</v>
      </c>
      <c r="B328" s="87">
        <v>1</v>
      </c>
      <c r="C328" s="88" t="s">
        <v>692</v>
      </c>
      <c r="D328" s="165" t="s">
        <v>691</v>
      </c>
      <c r="E328" s="88" t="s">
        <v>348</v>
      </c>
      <c r="F328" s="98">
        <f>(370000+2700111.8+7690005.76+848959.85)/2.78</f>
        <v>4175927.1258992804</v>
      </c>
      <c r="G328" s="91"/>
      <c r="H328" s="92"/>
      <c r="I328" s="93"/>
      <c r="J328" s="22"/>
      <c r="K328" s="22"/>
      <c r="L328" s="23"/>
      <c r="M328" s="23"/>
      <c r="N328" s="23"/>
      <c r="O328" s="23"/>
      <c r="P328" s="23"/>
      <c r="Q328" s="23"/>
      <c r="R328" s="23"/>
      <c r="S328" s="23"/>
      <c r="T328" s="23"/>
      <c r="U328" s="23"/>
      <c r="V328" s="24"/>
      <c r="W328" s="24"/>
      <c r="X328" s="24"/>
      <c r="Y328" s="24"/>
      <c r="Z328" s="24"/>
      <c r="AA328" s="24"/>
      <c r="AB328" s="24"/>
      <c r="AC328" s="24"/>
      <c r="AD328" s="24"/>
      <c r="AE328" s="24"/>
      <c r="AF328" s="24"/>
      <c r="AG328" s="24"/>
      <c r="AH328" s="24"/>
      <c r="AI328" s="24"/>
      <c r="AJ328" s="24"/>
      <c r="AK328" s="24"/>
      <c r="AL328" s="24"/>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c r="CA328" s="25"/>
      <c r="CB328" s="25"/>
      <c r="CC328" s="25"/>
      <c r="CD328" s="25"/>
      <c r="CE328" s="25"/>
      <c r="CF328" s="25"/>
      <c r="CG328" s="25"/>
      <c r="CH328" s="25"/>
      <c r="CI328" s="25"/>
      <c r="CJ328" s="25"/>
      <c r="CK328" s="25"/>
      <c r="CL328" s="25"/>
      <c r="CM328" s="25"/>
      <c r="CN328" s="25"/>
      <c r="CO328" s="25"/>
      <c r="CP328" s="25"/>
      <c r="CQ328" s="25"/>
      <c r="CR328" s="25"/>
      <c r="CS328" s="25"/>
      <c r="CT328" s="25"/>
      <c r="CU328" s="25"/>
      <c r="CV328" s="25"/>
      <c r="CW328" s="25"/>
      <c r="CX328" s="25"/>
      <c r="CY328" s="25"/>
      <c r="CZ328" s="25"/>
      <c r="DA328" s="25"/>
      <c r="DB328" s="25"/>
      <c r="DC328" s="25"/>
      <c r="DD328" s="25"/>
      <c r="DE328" s="25"/>
      <c r="DF328" s="25"/>
      <c r="DG328" s="25"/>
      <c r="DH328" s="25"/>
      <c r="DI328" s="25"/>
      <c r="DJ328" s="25"/>
      <c r="DK328" s="142"/>
    </row>
    <row r="329" spans="1:115" s="143" customFormat="1" ht="22.5" customHeight="1">
      <c r="A329" s="109">
        <f>A328+1</f>
        <v>271</v>
      </c>
      <c r="B329" s="87">
        <f>B328+1</f>
        <v>2</v>
      </c>
      <c r="C329" s="88" t="s">
        <v>693</v>
      </c>
      <c r="D329" s="165" t="s">
        <v>694</v>
      </c>
      <c r="E329" s="88" t="s">
        <v>348</v>
      </c>
      <c r="F329" s="98">
        <f>5610001/2.8</f>
        <v>2003571.785714286</v>
      </c>
      <c r="G329" s="91"/>
      <c r="H329" s="92"/>
      <c r="I329" s="93"/>
      <c r="J329" s="22"/>
      <c r="K329" s="22"/>
      <c r="L329" s="23"/>
      <c r="M329" s="23"/>
      <c r="N329" s="23"/>
      <c r="O329" s="23"/>
      <c r="P329" s="23"/>
      <c r="Q329" s="23"/>
      <c r="R329" s="23"/>
      <c r="S329" s="23"/>
      <c r="T329" s="23"/>
      <c r="U329" s="23"/>
      <c r="V329" s="24"/>
      <c r="W329" s="24"/>
      <c r="X329" s="24"/>
      <c r="Y329" s="24"/>
      <c r="Z329" s="24"/>
      <c r="AA329" s="24"/>
      <c r="AB329" s="24"/>
      <c r="AC329" s="24"/>
      <c r="AD329" s="24"/>
      <c r="AE329" s="24"/>
      <c r="AF329" s="24"/>
      <c r="AG329" s="24"/>
      <c r="AH329" s="24"/>
      <c r="AI329" s="24"/>
      <c r="AJ329" s="24"/>
      <c r="AK329" s="24"/>
      <c r="AL329" s="24"/>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c r="CA329" s="25"/>
      <c r="CB329" s="25"/>
      <c r="CC329" s="25"/>
      <c r="CD329" s="25"/>
      <c r="CE329" s="25"/>
      <c r="CF329" s="25"/>
      <c r="CG329" s="25"/>
      <c r="CH329" s="25"/>
      <c r="CI329" s="25"/>
      <c r="CJ329" s="25"/>
      <c r="CK329" s="25"/>
      <c r="CL329" s="25"/>
      <c r="CM329" s="25"/>
      <c r="CN329" s="25"/>
      <c r="CO329" s="25"/>
      <c r="CP329" s="25"/>
      <c r="CQ329" s="25"/>
      <c r="CR329" s="25"/>
      <c r="CS329" s="25"/>
      <c r="CT329" s="25"/>
      <c r="CU329" s="25"/>
      <c r="CV329" s="25"/>
      <c r="CW329" s="25"/>
      <c r="CX329" s="25"/>
      <c r="CY329" s="25"/>
      <c r="CZ329" s="25"/>
      <c r="DA329" s="25"/>
      <c r="DB329" s="25"/>
      <c r="DC329" s="25"/>
      <c r="DD329" s="25"/>
      <c r="DE329" s="25"/>
      <c r="DF329" s="25"/>
      <c r="DG329" s="25"/>
      <c r="DH329" s="25"/>
      <c r="DI329" s="25"/>
      <c r="DJ329" s="25"/>
      <c r="DK329" s="142"/>
    </row>
    <row r="330" spans="1:114" s="26" customFormat="1" ht="15.75" customHeight="1">
      <c r="A330" s="167" t="s">
        <v>690</v>
      </c>
      <c r="B330" s="168"/>
      <c r="C330" s="168"/>
      <c r="D330" s="168"/>
      <c r="E330" s="18"/>
      <c r="F330" s="19">
        <f>F328+F329</f>
        <v>6179498.911613567</v>
      </c>
      <c r="G330" s="19"/>
      <c r="H330" s="20"/>
      <c r="I330" s="21"/>
      <c r="J330" s="22"/>
      <c r="K330" s="33"/>
      <c r="L330" s="23"/>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c r="CA330" s="25"/>
      <c r="CB330" s="25"/>
      <c r="CC330" s="25"/>
      <c r="CD330" s="25"/>
      <c r="CE330" s="25"/>
      <c r="CF330" s="25"/>
      <c r="CG330" s="25"/>
      <c r="CH330" s="25"/>
      <c r="CI330" s="25"/>
      <c r="CJ330" s="25"/>
      <c r="CK330" s="25"/>
      <c r="CL330" s="25"/>
      <c r="CM330" s="25"/>
      <c r="CN330" s="25"/>
      <c r="CO330" s="25"/>
      <c r="CP330" s="25"/>
      <c r="CQ330" s="25"/>
      <c r="CR330" s="25"/>
      <c r="CS330" s="25"/>
      <c r="CT330" s="25"/>
      <c r="CU330" s="25"/>
      <c r="CV330" s="25"/>
      <c r="CW330" s="25"/>
      <c r="CX330" s="25"/>
      <c r="CY330" s="25"/>
      <c r="CZ330" s="25"/>
      <c r="DA330" s="25"/>
      <c r="DB330" s="25"/>
      <c r="DC330" s="25"/>
      <c r="DD330" s="25"/>
      <c r="DE330" s="25"/>
      <c r="DF330" s="25"/>
      <c r="DG330" s="25"/>
      <c r="DH330" s="25"/>
      <c r="DI330" s="25"/>
      <c r="DJ330" s="25"/>
    </row>
    <row r="331" spans="1:114" s="26" customFormat="1" ht="15.75" customHeight="1">
      <c r="A331" s="167" t="s">
        <v>311</v>
      </c>
      <c r="B331" s="168"/>
      <c r="C331" s="168"/>
      <c r="D331" s="168"/>
      <c r="E331" s="18"/>
      <c r="F331" s="19">
        <f>F25+F40+F65+F97+F136+F170+F195+F213+F222+F237+F249+F259+F268+F280+F290+F298+F303+F306+F311+F317+F322+F326+F330</f>
        <v>9580122653.32821</v>
      </c>
      <c r="G331" s="19"/>
      <c r="H331" s="20">
        <f>H25+H40+H65+H97+H136+H170+H195+H213+H222+H237+H249+H259+H268+H280+H290+H298+H303+H311+H317+H322+H326</f>
        <v>20857652094.02198</v>
      </c>
      <c r="I331" s="21"/>
      <c r="J331" s="22"/>
      <c r="K331" s="33"/>
      <c r="L331" s="23"/>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c r="CA331" s="25"/>
      <c r="CB331" s="25"/>
      <c r="CC331" s="25"/>
      <c r="CD331" s="25"/>
      <c r="CE331" s="25"/>
      <c r="CF331" s="25"/>
      <c r="CG331" s="25"/>
      <c r="CH331" s="25"/>
      <c r="CI331" s="25"/>
      <c r="CJ331" s="25"/>
      <c r="CK331" s="25"/>
      <c r="CL331" s="25"/>
      <c r="CM331" s="25"/>
      <c r="CN331" s="25"/>
      <c r="CO331" s="25"/>
      <c r="CP331" s="25"/>
      <c r="CQ331" s="25"/>
      <c r="CR331" s="25"/>
      <c r="CS331" s="25"/>
      <c r="CT331" s="25"/>
      <c r="CU331" s="25"/>
      <c r="CV331" s="25"/>
      <c r="CW331" s="25"/>
      <c r="CX331" s="25"/>
      <c r="CY331" s="25"/>
      <c r="CZ331" s="25"/>
      <c r="DA331" s="25"/>
      <c r="DB331" s="25"/>
      <c r="DC331" s="25"/>
      <c r="DD331" s="25"/>
      <c r="DE331" s="25"/>
      <c r="DF331" s="25"/>
      <c r="DG331" s="25"/>
      <c r="DH331" s="25"/>
      <c r="DI331" s="25"/>
      <c r="DJ331" s="25"/>
    </row>
    <row r="332" spans="1:38" s="37" customFormat="1" ht="13.5" customHeight="1">
      <c r="A332" s="149"/>
      <c r="B332" s="149"/>
      <c r="C332" s="149"/>
      <c r="D332" s="149"/>
      <c r="E332" s="149"/>
      <c r="F332" s="150"/>
      <c r="G332" s="151"/>
      <c r="H332" s="149"/>
      <c r="I332" s="151"/>
      <c r="J332" s="59"/>
      <c r="K332" s="59"/>
      <c r="L332" s="36"/>
      <c r="M332" s="36"/>
      <c r="N332" s="36"/>
      <c r="O332" s="36"/>
      <c r="P332" s="36"/>
      <c r="Q332" s="36"/>
      <c r="R332" s="36"/>
      <c r="S332" s="36"/>
      <c r="T332" s="36"/>
      <c r="U332" s="36"/>
      <c r="V332" s="36"/>
      <c r="W332" s="36"/>
      <c r="X332" s="36"/>
      <c r="Y332" s="36"/>
      <c r="Z332" s="36"/>
      <c r="AA332" s="36"/>
      <c r="AB332" s="36"/>
      <c r="AC332" s="36"/>
      <c r="AD332" s="36"/>
      <c r="AE332" s="36"/>
      <c r="AF332" s="36"/>
      <c r="AG332" s="36"/>
      <c r="AH332" s="36"/>
      <c r="AI332" s="36"/>
      <c r="AJ332" s="36"/>
      <c r="AK332" s="36"/>
      <c r="AL332" s="36"/>
    </row>
    <row r="333" spans="1:114" s="38" customFormat="1" ht="15.75" customHeight="1">
      <c r="A333" s="173" t="s">
        <v>125</v>
      </c>
      <c r="B333" s="174"/>
      <c r="C333" s="174"/>
      <c r="D333" s="174"/>
      <c r="E333" s="174"/>
      <c r="F333" s="174"/>
      <c r="G333" s="174"/>
      <c r="H333" s="174"/>
      <c r="I333" s="175"/>
      <c r="J333" s="59">
        <f>+F333</f>
        <v>0</v>
      </c>
      <c r="K333" s="59">
        <f>+H333</f>
        <v>0</v>
      </c>
      <c r="L333" s="36"/>
      <c r="M333" s="36"/>
      <c r="N333" s="36"/>
      <c r="O333" s="36"/>
      <c r="P333" s="36"/>
      <c r="Q333" s="36"/>
      <c r="R333" s="36"/>
      <c r="S333" s="36"/>
      <c r="T333" s="36"/>
      <c r="U333" s="36"/>
      <c r="V333" s="36"/>
      <c r="W333" s="36"/>
      <c r="X333" s="36"/>
      <c r="Y333" s="36"/>
      <c r="Z333" s="36"/>
      <c r="AA333" s="36"/>
      <c r="AB333" s="36"/>
      <c r="AC333" s="36"/>
      <c r="AD333" s="36"/>
      <c r="AE333" s="36"/>
      <c r="AF333" s="36"/>
      <c r="AG333" s="36"/>
      <c r="AH333" s="36"/>
      <c r="AI333" s="36"/>
      <c r="AJ333" s="36"/>
      <c r="AK333" s="36"/>
      <c r="AL333" s="36"/>
      <c r="AM333" s="37"/>
      <c r="AN333" s="37"/>
      <c r="AO333" s="37"/>
      <c r="AP333" s="37"/>
      <c r="AQ333" s="37"/>
      <c r="AR333" s="37"/>
      <c r="AS333" s="37"/>
      <c r="AT333" s="37"/>
      <c r="AU333" s="37"/>
      <c r="AV333" s="37"/>
      <c r="AW333" s="37"/>
      <c r="AX333" s="37"/>
      <c r="AY333" s="37"/>
      <c r="AZ333" s="37"/>
      <c r="BA333" s="37"/>
      <c r="BB333" s="37"/>
      <c r="BC333" s="37"/>
      <c r="BD333" s="37"/>
      <c r="BE333" s="37"/>
      <c r="BF333" s="37"/>
      <c r="BG333" s="37"/>
      <c r="BH333" s="37"/>
      <c r="BI333" s="37"/>
      <c r="BJ333" s="37"/>
      <c r="BK333" s="37"/>
      <c r="BL333" s="37"/>
      <c r="BM333" s="37"/>
      <c r="BN333" s="37"/>
      <c r="BO333" s="37"/>
      <c r="BP333" s="37"/>
      <c r="BQ333" s="37"/>
      <c r="BR333" s="37"/>
      <c r="BS333" s="37"/>
      <c r="BT333" s="37"/>
      <c r="BU333" s="37"/>
      <c r="BV333" s="37"/>
      <c r="BW333" s="37"/>
      <c r="BX333" s="37"/>
      <c r="BY333" s="37"/>
      <c r="BZ333" s="37"/>
      <c r="CA333" s="37"/>
      <c r="CB333" s="37"/>
      <c r="CC333" s="37"/>
      <c r="CD333" s="37"/>
      <c r="CE333" s="37"/>
      <c r="CF333" s="37"/>
      <c r="CG333" s="37"/>
      <c r="CH333" s="37"/>
      <c r="CI333" s="37"/>
      <c r="CJ333" s="37"/>
      <c r="CK333" s="37"/>
      <c r="CL333" s="37"/>
      <c r="CM333" s="37"/>
      <c r="CN333" s="37"/>
      <c r="CO333" s="37"/>
      <c r="CP333" s="37"/>
      <c r="CQ333" s="37"/>
      <c r="CR333" s="37"/>
      <c r="CS333" s="37"/>
      <c r="CT333" s="37"/>
      <c r="CU333" s="37"/>
      <c r="CV333" s="37"/>
      <c r="CW333" s="37"/>
      <c r="CX333" s="37"/>
      <c r="CY333" s="37"/>
      <c r="CZ333" s="37"/>
      <c r="DA333" s="37"/>
      <c r="DB333" s="37"/>
      <c r="DC333" s="37"/>
      <c r="DD333" s="37"/>
      <c r="DE333" s="37"/>
      <c r="DF333" s="37"/>
      <c r="DG333" s="37"/>
      <c r="DH333" s="37"/>
      <c r="DI333" s="37"/>
      <c r="DJ333" s="37"/>
    </row>
    <row r="334" spans="1:114" s="34" customFormat="1" ht="15.75" customHeight="1">
      <c r="A334" s="109">
        <f>A325+1</f>
        <v>270</v>
      </c>
      <c r="B334" s="87">
        <v>1</v>
      </c>
      <c r="C334" s="88" t="s">
        <v>228</v>
      </c>
      <c r="D334" s="89" t="s">
        <v>126</v>
      </c>
      <c r="E334" s="88" t="s">
        <v>10</v>
      </c>
      <c r="F334" s="90">
        <v>46559024.6571944</v>
      </c>
      <c r="G334" s="91"/>
      <c r="H334" s="92"/>
      <c r="I334" s="93"/>
      <c r="J334" s="22">
        <f>+F334</f>
        <v>46559024.6571944</v>
      </c>
      <c r="K334" s="22">
        <f>+H334</f>
        <v>0</v>
      </c>
      <c r="L334" s="23"/>
      <c r="M334" s="23"/>
      <c r="N334" s="23"/>
      <c r="O334" s="23"/>
      <c r="P334" s="23"/>
      <c r="Q334" s="23"/>
      <c r="R334" s="23"/>
      <c r="S334" s="23"/>
      <c r="T334" s="23"/>
      <c r="U334" s="23"/>
      <c r="V334" s="24"/>
      <c r="W334" s="24"/>
      <c r="X334" s="24"/>
      <c r="Y334" s="24"/>
      <c r="Z334" s="24"/>
      <c r="AA334" s="24"/>
      <c r="AB334" s="24"/>
      <c r="AC334" s="24"/>
      <c r="AD334" s="24"/>
      <c r="AE334" s="24"/>
      <c r="AF334" s="24"/>
      <c r="AG334" s="24"/>
      <c r="AH334" s="24"/>
      <c r="AI334" s="24"/>
      <c r="AJ334" s="24"/>
      <c r="AK334" s="24"/>
      <c r="AL334" s="24"/>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c r="CA334" s="25"/>
      <c r="CB334" s="25"/>
      <c r="CC334" s="25"/>
      <c r="CD334" s="25"/>
      <c r="CE334" s="25"/>
      <c r="CF334" s="25"/>
      <c r="CG334" s="25"/>
      <c r="CH334" s="25"/>
      <c r="CI334" s="25"/>
      <c r="CJ334" s="25"/>
      <c r="CK334" s="25"/>
      <c r="CL334" s="25"/>
      <c r="CM334" s="25"/>
      <c r="CN334" s="25"/>
      <c r="CO334" s="25"/>
      <c r="CP334" s="25"/>
      <c r="CQ334" s="25"/>
      <c r="CR334" s="25"/>
      <c r="CS334" s="25"/>
      <c r="CT334" s="25"/>
      <c r="CU334" s="25"/>
      <c r="CV334" s="25"/>
      <c r="CW334" s="25"/>
      <c r="CX334" s="25"/>
      <c r="CY334" s="25"/>
      <c r="CZ334" s="25"/>
      <c r="DA334" s="25"/>
      <c r="DB334" s="25"/>
      <c r="DC334" s="25"/>
      <c r="DD334" s="25"/>
      <c r="DE334" s="25"/>
      <c r="DF334" s="25"/>
      <c r="DG334" s="25"/>
      <c r="DH334" s="25"/>
      <c r="DI334" s="25"/>
      <c r="DJ334" s="25"/>
    </row>
    <row r="335" spans="1:114" s="26" customFormat="1" ht="15.75" customHeight="1">
      <c r="A335" s="146" t="s">
        <v>127</v>
      </c>
      <c r="B335" s="152"/>
      <c r="C335" s="153"/>
      <c r="D335" s="152"/>
      <c r="E335" s="153"/>
      <c r="F335" s="147">
        <f>SUM(F334:F334)</f>
        <v>46559024.6571944</v>
      </c>
      <c r="G335" s="148"/>
      <c r="H335" s="147">
        <f>SUM(H334:H334)</f>
        <v>0</v>
      </c>
      <c r="I335" s="154"/>
      <c r="J335" s="22"/>
      <c r="K335" s="22"/>
      <c r="L335" s="23"/>
      <c r="M335" s="23"/>
      <c r="N335" s="23"/>
      <c r="O335" s="23"/>
      <c r="P335" s="23"/>
      <c r="Q335" s="23"/>
      <c r="R335" s="23"/>
      <c r="S335" s="23"/>
      <c r="T335" s="23"/>
      <c r="U335" s="23"/>
      <c r="V335" s="24"/>
      <c r="W335" s="24"/>
      <c r="X335" s="24"/>
      <c r="Y335" s="24"/>
      <c r="Z335" s="24"/>
      <c r="AA335" s="24"/>
      <c r="AB335" s="24"/>
      <c r="AC335" s="24"/>
      <c r="AD335" s="24"/>
      <c r="AE335" s="24"/>
      <c r="AF335" s="24"/>
      <c r="AG335" s="24"/>
      <c r="AH335" s="24"/>
      <c r="AI335" s="24"/>
      <c r="AJ335" s="24"/>
      <c r="AK335" s="24"/>
      <c r="AL335" s="24"/>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c r="CA335" s="25"/>
      <c r="CB335" s="25"/>
      <c r="CC335" s="25"/>
      <c r="CD335" s="25"/>
      <c r="CE335" s="25"/>
      <c r="CF335" s="25"/>
      <c r="CG335" s="25"/>
      <c r="CH335" s="25"/>
      <c r="CI335" s="25"/>
      <c r="CJ335" s="25"/>
      <c r="CK335" s="25"/>
      <c r="CL335" s="25"/>
      <c r="CM335" s="25"/>
      <c r="CN335" s="25"/>
      <c r="CO335" s="25"/>
      <c r="CP335" s="25"/>
      <c r="CQ335" s="25"/>
      <c r="CR335" s="25"/>
      <c r="CS335" s="25"/>
      <c r="CT335" s="25"/>
      <c r="CU335" s="25"/>
      <c r="CV335" s="25"/>
      <c r="CW335" s="25"/>
      <c r="CX335" s="25"/>
      <c r="CY335" s="25"/>
      <c r="CZ335" s="25"/>
      <c r="DA335" s="25"/>
      <c r="DB335" s="25"/>
      <c r="DC335" s="25"/>
      <c r="DD335" s="25"/>
      <c r="DE335" s="25"/>
      <c r="DF335" s="25"/>
      <c r="DG335" s="25"/>
      <c r="DH335" s="25"/>
      <c r="DI335" s="25"/>
      <c r="DJ335" s="25"/>
    </row>
    <row r="336" spans="1:114" s="26" customFormat="1" ht="8.25" customHeight="1">
      <c r="A336" s="76"/>
      <c r="B336" s="76"/>
      <c r="C336" s="77"/>
      <c r="D336" s="76"/>
      <c r="E336" s="77"/>
      <c r="F336" s="79"/>
      <c r="G336" s="80"/>
      <c r="H336" s="79"/>
      <c r="I336" s="155"/>
      <c r="J336" s="22">
        <f>+F336</f>
        <v>0</v>
      </c>
      <c r="K336" s="22">
        <f>+H336</f>
        <v>0</v>
      </c>
      <c r="L336" s="23"/>
      <c r="M336" s="23"/>
      <c r="N336" s="23"/>
      <c r="O336" s="23"/>
      <c r="P336" s="23"/>
      <c r="Q336" s="23"/>
      <c r="R336" s="23"/>
      <c r="S336" s="23"/>
      <c r="T336" s="23"/>
      <c r="U336" s="23"/>
      <c r="V336" s="24"/>
      <c r="W336" s="24"/>
      <c r="X336" s="24"/>
      <c r="Y336" s="24"/>
      <c r="Z336" s="24"/>
      <c r="AA336" s="24"/>
      <c r="AB336" s="24"/>
      <c r="AC336" s="24"/>
      <c r="AD336" s="24"/>
      <c r="AE336" s="24"/>
      <c r="AF336" s="24"/>
      <c r="AG336" s="24"/>
      <c r="AH336" s="24"/>
      <c r="AI336" s="24"/>
      <c r="AJ336" s="24"/>
      <c r="AK336" s="24"/>
      <c r="AL336" s="24"/>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c r="CA336" s="25"/>
      <c r="CB336" s="25"/>
      <c r="CC336" s="25"/>
      <c r="CD336" s="25"/>
      <c r="CE336" s="25"/>
      <c r="CF336" s="25"/>
      <c r="CG336" s="25"/>
      <c r="CH336" s="25"/>
      <c r="CI336" s="25"/>
      <c r="CJ336" s="25"/>
      <c r="CK336" s="25"/>
      <c r="CL336" s="25"/>
      <c r="CM336" s="25"/>
      <c r="CN336" s="25"/>
      <c r="CO336" s="25"/>
      <c r="CP336" s="25"/>
      <c r="CQ336" s="25"/>
      <c r="CR336" s="25"/>
      <c r="CS336" s="25"/>
      <c r="CT336" s="25"/>
      <c r="CU336" s="25"/>
      <c r="CV336" s="25"/>
      <c r="CW336" s="25"/>
      <c r="CX336" s="25"/>
      <c r="CY336" s="25"/>
      <c r="CZ336" s="25"/>
      <c r="DA336" s="25"/>
      <c r="DB336" s="25"/>
      <c r="DC336" s="25"/>
      <c r="DD336" s="25"/>
      <c r="DE336" s="25"/>
      <c r="DF336" s="25"/>
      <c r="DG336" s="25"/>
      <c r="DH336" s="25"/>
      <c r="DI336" s="25"/>
      <c r="DJ336" s="25"/>
    </row>
    <row r="337" spans="1:114" s="26" customFormat="1" ht="15.75" customHeight="1">
      <c r="A337" s="167" t="s">
        <v>128</v>
      </c>
      <c r="B337" s="168"/>
      <c r="C337" s="168"/>
      <c r="D337" s="168"/>
      <c r="E337" s="18"/>
      <c r="F337" s="19">
        <f>F11+F331+F335</f>
        <v>9629275524.985405</v>
      </c>
      <c r="G337" s="19"/>
      <c r="H337" s="20">
        <f>H11+H331+H335</f>
        <v>20857652094.02198</v>
      </c>
      <c r="I337" s="21"/>
      <c r="J337" s="22">
        <f>H337+F337</f>
        <v>30486927619.007385</v>
      </c>
      <c r="K337" s="33"/>
      <c r="L337" s="23"/>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c r="CA337" s="25"/>
      <c r="CB337" s="25"/>
      <c r="CC337" s="25"/>
      <c r="CD337" s="25"/>
      <c r="CE337" s="25"/>
      <c r="CF337" s="25"/>
      <c r="CG337" s="25"/>
      <c r="CH337" s="25"/>
      <c r="CI337" s="25"/>
      <c r="CJ337" s="25"/>
      <c r="CK337" s="25"/>
      <c r="CL337" s="25"/>
      <c r="CM337" s="25"/>
      <c r="CN337" s="25"/>
      <c r="CO337" s="25"/>
      <c r="CP337" s="25"/>
      <c r="CQ337" s="25"/>
      <c r="CR337" s="25"/>
      <c r="CS337" s="25"/>
      <c r="CT337" s="25"/>
      <c r="CU337" s="25"/>
      <c r="CV337" s="25"/>
      <c r="CW337" s="25"/>
      <c r="CX337" s="25"/>
      <c r="CY337" s="25"/>
      <c r="CZ337" s="25"/>
      <c r="DA337" s="25"/>
      <c r="DB337" s="25"/>
      <c r="DC337" s="25"/>
      <c r="DD337" s="25"/>
      <c r="DE337" s="25"/>
      <c r="DF337" s="25"/>
      <c r="DG337" s="25"/>
      <c r="DH337" s="25"/>
      <c r="DI337" s="25"/>
      <c r="DJ337" s="25"/>
    </row>
    <row r="340" spans="2:10" ht="15.75" customHeight="1">
      <c r="B340" s="156" t="s">
        <v>136</v>
      </c>
      <c r="C340" s="34"/>
      <c r="D340" s="157"/>
      <c r="E340" s="158"/>
      <c r="F340" s="159"/>
      <c r="G340" s="158"/>
      <c r="H340" s="160"/>
      <c r="I340" s="33"/>
      <c r="J340" s="23"/>
    </row>
    <row r="341" spans="2:10" ht="29.25" customHeight="1">
      <c r="B341" s="161" t="s">
        <v>567</v>
      </c>
      <c r="C341" s="166" t="s">
        <v>568</v>
      </c>
      <c r="D341" s="166"/>
      <c r="E341" s="166"/>
      <c r="F341" s="166"/>
      <c r="G341" s="166"/>
      <c r="H341" s="166"/>
      <c r="I341" s="166"/>
      <c r="J341" s="33"/>
    </row>
    <row r="342" spans="2:10" ht="33.75" customHeight="1">
      <c r="B342" s="161" t="s">
        <v>569</v>
      </c>
      <c r="C342" s="166" t="s">
        <v>570</v>
      </c>
      <c r="D342" s="166"/>
      <c r="E342" s="166"/>
      <c r="F342" s="166"/>
      <c r="G342" s="166"/>
      <c r="H342" s="166"/>
      <c r="I342" s="166"/>
      <c r="J342" s="33"/>
    </row>
    <row r="343" spans="2:10" ht="15.75" customHeight="1">
      <c r="B343" s="161" t="s">
        <v>498</v>
      </c>
      <c r="C343" s="17" t="s">
        <v>137</v>
      </c>
      <c r="D343" s="17"/>
      <c r="E343" s="17"/>
      <c r="F343" s="17"/>
      <c r="G343" s="17"/>
      <c r="H343" s="17"/>
      <c r="I343" s="17"/>
      <c r="J343" s="33"/>
    </row>
    <row r="344" spans="2:10" ht="25.5" customHeight="1">
      <c r="B344" s="162" t="s">
        <v>138</v>
      </c>
      <c r="C344" s="166" t="s">
        <v>438</v>
      </c>
      <c r="D344" s="166"/>
      <c r="E344" s="166"/>
      <c r="F344" s="166"/>
      <c r="G344" s="166"/>
      <c r="H344" s="166"/>
      <c r="I344" s="166"/>
      <c r="J344" s="33"/>
    </row>
    <row r="345" spans="2:10" ht="15.75" customHeight="1">
      <c r="B345" s="162" t="s">
        <v>26</v>
      </c>
      <c r="C345" s="17" t="s">
        <v>255</v>
      </c>
      <c r="D345" s="17"/>
      <c r="E345" s="17"/>
      <c r="F345" s="17"/>
      <c r="G345" s="17"/>
      <c r="H345" s="17"/>
      <c r="I345" s="17"/>
      <c r="J345" s="33"/>
    </row>
    <row r="346" spans="2:10" ht="15.75" customHeight="1">
      <c r="B346" s="162" t="s">
        <v>256</v>
      </c>
      <c r="C346" s="17" t="s">
        <v>257</v>
      </c>
      <c r="D346" s="17"/>
      <c r="E346" s="17"/>
      <c r="F346" s="17"/>
      <c r="G346" s="17"/>
      <c r="H346" s="17"/>
      <c r="I346" s="17"/>
      <c r="J346" s="33"/>
    </row>
    <row r="347" spans="2:10" ht="15.75" customHeight="1">
      <c r="B347" s="162" t="s">
        <v>140</v>
      </c>
      <c r="C347" s="17" t="s">
        <v>141</v>
      </c>
      <c r="D347" s="17"/>
      <c r="E347" s="17"/>
      <c r="F347" s="17"/>
      <c r="G347" s="17"/>
      <c r="H347" s="17"/>
      <c r="I347" s="82"/>
      <c r="J347" s="33"/>
    </row>
    <row r="348" spans="2:10" ht="15.75" customHeight="1">
      <c r="B348" s="163" t="s">
        <v>542</v>
      </c>
      <c r="C348" s="17" t="s">
        <v>553</v>
      </c>
      <c r="D348" s="17"/>
      <c r="E348" s="17"/>
      <c r="F348" s="17"/>
      <c r="G348" s="17"/>
      <c r="H348" s="17"/>
      <c r="I348" s="32"/>
      <c r="J348" s="33"/>
    </row>
    <row r="349" spans="2:10" ht="15.75" customHeight="1">
      <c r="B349" s="163" t="s">
        <v>543</v>
      </c>
      <c r="C349" s="17" t="s">
        <v>554</v>
      </c>
      <c r="D349" s="17"/>
      <c r="E349" s="17"/>
      <c r="F349" s="17"/>
      <c r="G349" s="17"/>
      <c r="H349" s="17"/>
      <c r="I349" s="32"/>
      <c r="J349" s="33"/>
    </row>
    <row r="350" spans="2:10" ht="15.75" customHeight="1">
      <c r="B350" s="163" t="s">
        <v>544</v>
      </c>
      <c r="C350" s="17" t="s">
        <v>555</v>
      </c>
      <c r="D350" s="17"/>
      <c r="E350" s="17"/>
      <c r="F350" s="17"/>
      <c r="G350" s="17"/>
      <c r="H350" s="17"/>
      <c r="I350" s="32"/>
      <c r="J350" s="33"/>
    </row>
    <row r="351" spans="2:10" ht="30" customHeight="1">
      <c r="B351" s="163" t="s">
        <v>548</v>
      </c>
      <c r="C351" s="166" t="s">
        <v>545</v>
      </c>
      <c r="D351" s="166"/>
      <c r="E351" s="166"/>
      <c r="F351" s="166"/>
      <c r="G351" s="166"/>
      <c r="H351" s="166"/>
      <c r="I351" s="166"/>
      <c r="J351" s="33"/>
    </row>
    <row r="352" spans="2:10" ht="15.75" customHeight="1">
      <c r="B352" s="163" t="s">
        <v>549</v>
      </c>
      <c r="C352" s="17" t="s">
        <v>546</v>
      </c>
      <c r="D352" s="17"/>
      <c r="E352" s="17"/>
      <c r="F352" s="17"/>
      <c r="G352" s="17"/>
      <c r="H352" s="17"/>
      <c r="I352" s="164"/>
      <c r="J352" s="33"/>
    </row>
    <row r="353" spans="2:10" ht="15.75" customHeight="1">
      <c r="B353" s="162">
        <v>1</v>
      </c>
      <c r="C353" s="17" t="s">
        <v>439</v>
      </c>
      <c r="D353" s="17"/>
      <c r="E353" s="17"/>
      <c r="F353" s="17"/>
      <c r="G353" s="17"/>
      <c r="H353" s="17"/>
      <c r="I353" s="17"/>
      <c r="J353" s="33"/>
    </row>
    <row r="354" spans="2:10" ht="15.75" customHeight="1">
      <c r="B354" s="162">
        <v>2</v>
      </c>
      <c r="C354" s="17" t="s">
        <v>258</v>
      </c>
      <c r="D354" s="17"/>
      <c r="E354" s="17"/>
      <c r="F354" s="17"/>
      <c r="G354" s="17"/>
      <c r="H354" s="17"/>
      <c r="I354" s="17"/>
      <c r="J354" s="33"/>
    </row>
    <row r="355" spans="2:10" ht="15.75" customHeight="1">
      <c r="B355" s="162">
        <v>4</v>
      </c>
      <c r="C355" s="166" t="s">
        <v>442</v>
      </c>
      <c r="D355" s="166"/>
      <c r="E355" s="166"/>
      <c r="F355" s="166"/>
      <c r="G355" s="166"/>
      <c r="H355" s="166"/>
      <c r="I355" s="166"/>
      <c r="J355" s="33"/>
    </row>
    <row r="356" spans="2:10" ht="27" customHeight="1">
      <c r="B356" s="162">
        <v>5</v>
      </c>
      <c r="C356" s="166" t="s">
        <v>440</v>
      </c>
      <c r="D356" s="166"/>
      <c r="E356" s="166"/>
      <c r="F356" s="166"/>
      <c r="G356" s="166"/>
      <c r="H356" s="166"/>
      <c r="I356" s="166"/>
      <c r="J356" s="33"/>
    </row>
    <row r="357" spans="2:10" ht="26.25" customHeight="1">
      <c r="B357" s="162"/>
      <c r="C357" s="166" t="s">
        <v>441</v>
      </c>
      <c r="D357" s="166"/>
      <c r="E357" s="166"/>
      <c r="F357" s="166"/>
      <c r="G357" s="166"/>
      <c r="H357" s="166"/>
      <c r="I357" s="166"/>
      <c r="J357" s="33"/>
    </row>
    <row r="358" spans="2:10" ht="15.75" customHeight="1">
      <c r="B358" s="162">
        <v>6</v>
      </c>
      <c r="C358" s="17" t="s">
        <v>259</v>
      </c>
      <c r="D358" s="17"/>
      <c r="E358" s="17"/>
      <c r="F358" s="17"/>
      <c r="G358" s="17"/>
      <c r="H358" s="17"/>
      <c r="I358" s="17"/>
      <c r="J358" s="33"/>
    </row>
    <row r="359" spans="2:10" ht="15.75" customHeight="1">
      <c r="B359" s="162"/>
      <c r="C359" s="17" t="s">
        <v>435</v>
      </c>
      <c r="D359" s="17"/>
      <c r="E359" s="17"/>
      <c r="F359" s="17"/>
      <c r="G359" s="17"/>
      <c r="H359" s="17"/>
      <c r="I359" s="17"/>
      <c r="J359" s="33"/>
    </row>
    <row r="360" spans="2:10" ht="27.75" customHeight="1">
      <c r="B360" s="162">
        <v>7</v>
      </c>
      <c r="C360" s="166" t="s">
        <v>443</v>
      </c>
      <c r="D360" s="166"/>
      <c r="E360" s="166"/>
      <c r="F360" s="166"/>
      <c r="G360" s="166"/>
      <c r="H360" s="166"/>
      <c r="I360" s="166"/>
      <c r="J360" s="33"/>
    </row>
    <row r="361" spans="2:10" ht="15.75" customHeight="1">
      <c r="B361" s="162">
        <v>8</v>
      </c>
      <c r="C361" s="17" t="s">
        <v>444</v>
      </c>
      <c r="D361" s="17"/>
      <c r="E361" s="17"/>
      <c r="F361" s="17"/>
      <c r="G361" s="17"/>
      <c r="H361" s="17"/>
      <c r="I361" s="17"/>
      <c r="J361" s="33"/>
    </row>
    <row r="362" spans="2:10" ht="32.25" customHeight="1">
      <c r="B362" s="162"/>
      <c r="C362" s="166" t="s">
        <v>445</v>
      </c>
      <c r="D362" s="166"/>
      <c r="E362" s="166"/>
      <c r="F362" s="166"/>
      <c r="G362" s="166"/>
      <c r="H362" s="166"/>
      <c r="I362" s="166"/>
      <c r="J362" s="33"/>
    </row>
    <row r="363" spans="2:10" ht="15.75" customHeight="1">
      <c r="B363" s="162"/>
      <c r="C363" s="17" t="s">
        <v>263</v>
      </c>
      <c r="D363" s="17"/>
      <c r="E363" s="17"/>
      <c r="F363" s="17"/>
      <c r="G363" s="17"/>
      <c r="H363" s="17"/>
      <c r="I363" s="17"/>
      <c r="J363" s="33"/>
    </row>
    <row r="364" spans="2:10" ht="15.75" customHeight="1">
      <c r="B364" s="162">
        <v>9</v>
      </c>
      <c r="C364" s="17" t="s">
        <v>437</v>
      </c>
      <c r="D364" s="17"/>
      <c r="E364" s="17"/>
      <c r="F364" s="17"/>
      <c r="G364" s="17"/>
      <c r="H364" s="17"/>
      <c r="I364" s="17"/>
      <c r="J364" s="33"/>
    </row>
    <row r="365" spans="2:10" ht="27.75" customHeight="1">
      <c r="B365" s="162">
        <v>10</v>
      </c>
      <c r="C365" s="166" t="s">
        <v>446</v>
      </c>
      <c r="D365" s="166"/>
      <c r="E365" s="166"/>
      <c r="F365" s="166"/>
      <c r="G365" s="166"/>
      <c r="H365" s="166"/>
      <c r="I365" s="166"/>
      <c r="J365" s="33"/>
    </row>
    <row r="366" spans="2:10" ht="15.75" customHeight="1">
      <c r="B366" s="162">
        <v>11</v>
      </c>
      <c r="C366" s="17" t="s">
        <v>344</v>
      </c>
      <c r="D366" s="17"/>
      <c r="E366" s="17"/>
      <c r="F366" s="17"/>
      <c r="G366" s="17"/>
      <c r="H366" s="17"/>
      <c r="I366" s="17"/>
      <c r="J366" s="33"/>
    </row>
    <row r="367" spans="2:10" ht="15.75" customHeight="1">
      <c r="B367" s="162"/>
      <c r="C367" s="17" t="s">
        <v>264</v>
      </c>
      <c r="D367" s="17"/>
      <c r="E367" s="17"/>
      <c r="F367" s="17"/>
      <c r="G367" s="17"/>
      <c r="H367" s="17"/>
      <c r="I367" s="17"/>
      <c r="J367" s="33"/>
    </row>
    <row r="368" spans="2:10" ht="15.75" customHeight="1">
      <c r="B368" s="162">
        <v>12</v>
      </c>
      <c r="C368" s="17" t="s">
        <v>265</v>
      </c>
      <c r="D368" s="17"/>
      <c r="E368" s="17"/>
      <c r="F368" s="17"/>
      <c r="G368" s="17"/>
      <c r="H368" s="17"/>
      <c r="I368" s="17"/>
      <c r="J368" s="33"/>
    </row>
    <row r="369" spans="2:10" ht="15.75" customHeight="1">
      <c r="B369" s="162">
        <v>13</v>
      </c>
      <c r="C369" s="17" t="s">
        <v>451</v>
      </c>
      <c r="D369" s="17"/>
      <c r="E369" s="17"/>
      <c r="F369" s="17"/>
      <c r="G369" s="17"/>
      <c r="H369" s="17"/>
      <c r="I369" s="17"/>
      <c r="J369" s="33"/>
    </row>
    <row r="370" spans="2:10" ht="15.75" customHeight="1">
      <c r="B370" s="162">
        <v>14</v>
      </c>
      <c r="C370" s="17" t="s">
        <v>452</v>
      </c>
      <c r="D370" s="17"/>
      <c r="E370" s="17"/>
      <c r="F370" s="17"/>
      <c r="G370" s="17"/>
      <c r="H370" s="17"/>
      <c r="I370" s="17"/>
      <c r="J370" s="33"/>
    </row>
    <row r="371" spans="2:10" ht="15.75" customHeight="1">
      <c r="B371" s="162">
        <v>16</v>
      </c>
      <c r="C371" s="17" t="s">
        <v>266</v>
      </c>
      <c r="D371" s="17"/>
      <c r="E371" s="17"/>
      <c r="F371" s="17"/>
      <c r="G371" s="17"/>
      <c r="H371" s="17"/>
      <c r="I371" s="17"/>
      <c r="J371" s="33"/>
    </row>
    <row r="372" spans="2:10" ht="15.75" customHeight="1">
      <c r="B372" s="162">
        <v>17</v>
      </c>
      <c r="C372" s="17" t="s">
        <v>453</v>
      </c>
      <c r="D372" s="17"/>
      <c r="E372" s="17"/>
      <c r="F372" s="17"/>
      <c r="G372" s="17"/>
      <c r="H372" s="17"/>
      <c r="I372" s="17"/>
      <c r="J372" s="33"/>
    </row>
    <row r="373" spans="2:10" ht="15.75" customHeight="1">
      <c r="B373" s="162">
        <v>18</v>
      </c>
      <c r="C373" s="17" t="s">
        <v>454</v>
      </c>
      <c r="D373" s="17"/>
      <c r="E373" s="17"/>
      <c r="F373" s="17"/>
      <c r="G373" s="17"/>
      <c r="H373" s="17"/>
      <c r="I373" s="17"/>
      <c r="J373" s="33"/>
    </row>
    <row r="374" spans="2:10" ht="15.75" customHeight="1">
      <c r="B374" s="162">
        <v>19</v>
      </c>
      <c r="C374" s="17" t="s">
        <v>267</v>
      </c>
      <c r="D374" s="17"/>
      <c r="E374" s="17"/>
      <c r="F374" s="17"/>
      <c r="G374" s="17"/>
      <c r="H374" s="17"/>
      <c r="I374" s="17"/>
      <c r="J374" s="33"/>
    </row>
    <row r="375" spans="2:10" ht="15.75" customHeight="1">
      <c r="B375" s="162">
        <v>20</v>
      </c>
      <c r="C375" s="17" t="s">
        <v>271</v>
      </c>
      <c r="D375" s="17"/>
      <c r="E375" s="17"/>
      <c r="F375" s="17"/>
      <c r="G375" s="17"/>
      <c r="H375" s="17"/>
      <c r="I375" s="17"/>
      <c r="J375" s="33"/>
    </row>
    <row r="376" spans="2:10" ht="15.75" customHeight="1">
      <c r="B376" s="162">
        <v>21</v>
      </c>
      <c r="C376" s="17" t="s">
        <v>687</v>
      </c>
      <c r="D376" s="17"/>
      <c r="E376" s="17"/>
      <c r="F376" s="17"/>
      <c r="G376" s="17"/>
      <c r="H376" s="17"/>
      <c r="I376" s="17"/>
      <c r="J376" s="33"/>
    </row>
    <row r="377" spans="2:10" ht="15.75" customHeight="1">
      <c r="B377" s="162">
        <v>22</v>
      </c>
      <c r="C377" s="17" t="s">
        <v>272</v>
      </c>
      <c r="D377" s="17"/>
      <c r="E377" s="17"/>
      <c r="F377" s="17"/>
      <c r="G377" s="17"/>
      <c r="H377" s="17"/>
      <c r="I377" s="17"/>
      <c r="J377" s="33"/>
    </row>
    <row r="378" spans="2:10" ht="15.75" customHeight="1">
      <c r="B378" s="162">
        <v>23</v>
      </c>
      <c r="C378" s="17" t="s">
        <v>273</v>
      </c>
      <c r="D378" s="17"/>
      <c r="E378" s="17"/>
      <c r="F378" s="17"/>
      <c r="G378" s="17"/>
      <c r="H378" s="17"/>
      <c r="I378" s="17"/>
      <c r="J378" s="33"/>
    </row>
    <row r="379" spans="2:10" ht="15.75" customHeight="1">
      <c r="B379" s="162"/>
      <c r="C379" s="17" t="s">
        <v>274</v>
      </c>
      <c r="D379" s="17"/>
      <c r="E379" s="17"/>
      <c r="F379" s="17"/>
      <c r="G379" s="17"/>
      <c r="H379" s="17"/>
      <c r="I379" s="17"/>
      <c r="J379" s="33"/>
    </row>
    <row r="380" spans="2:10" ht="15.75" customHeight="1">
      <c r="B380" s="162">
        <v>24</v>
      </c>
      <c r="C380" s="17" t="s">
        <v>275</v>
      </c>
      <c r="D380" s="17"/>
      <c r="E380" s="17"/>
      <c r="F380" s="17"/>
      <c r="G380" s="17"/>
      <c r="H380" s="17"/>
      <c r="I380" s="17"/>
      <c r="J380" s="33"/>
    </row>
    <row r="381" spans="2:10" ht="15.75" customHeight="1">
      <c r="B381" s="162">
        <v>25</v>
      </c>
      <c r="C381" s="17" t="s">
        <v>276</v>
      </c>
      <c r="D381" s="17"/>
      <c r="E381" s="17"/>
      <c r="F381" s="17"/>
      <c r="G381" s="17"/>
      <c r="H381" s="17"/>
      <c r="I381" s="17"/>
      <c r="J381" s="33"/>
    </row>
    <row r="382" spans="2:10" ht="15.75" customHeight="1">
      <c r="B382" s="162">
        <v>26</v>
      </c>
      <c r="C382" s="17" t="s">
        <v>277</v>
      </c>
      <c r="D382" s="17"/>
      <c r="E382" s="17"/>
      <c r="F382" s="17"/>
      <c r="G382" s="17"/>
      <c r="H382" s="17"/>
      <c r="I382" s="17"/>
      <c r="J382" s="33"/>
    </row>
    <row r="383" spans="2:10" ht="15.75" customHeight="1">
      <c r="B383" s="162">
        <v>27</v>
      </c>
      <c r="C383" s="17" t="s">
        <v>377</v>
      </c>
      <c r="D383" s="17"/>
      <c r="E383" s="17"/>
      <c r="F383" s="17"/>
      <c r="G383" s="17"/>
      <c r="H383" s="17"/>
      <c r="I383" s="17"/>
      <c r="J383" s="33"/>
    </row>
    <row r="384" spans="2:10" ht="15.75" customHeight="1">
      <c r="B384" s="162">
        <v>28</v>
      </c>
      <c r="C384" s="17" t="s">
        <v>284</v>
      </c>
      <c r="D384" s="17"/>
      <c r="E384" s="17"/>
      <c r="F384" s="17"/>
      <c r="G384" s="17"/>
      <c r="H384" s="17"/>
      <c r="I384" s="17"/>
      <c r="J384" s="33"/>
    </row>
    <row r="385" spans="2:10" ht="15.75" customHeight="1">
      <c r="B385" s="162">
        <v>29</v>
      </c>
      <c r="C385" s="17" t="s">
        <v>285</v>
      </c>
      <c r="D385" s="17"/>
      <c r="E385" s="17"/>
      <c r="F385" s="17"/>
      <c r="G385" s="17"/>
      <c r="H385" s="17"/>
      <c r="I385" s="17"/>
      <c r="J385" s="33"/>
    </row>
    <row r="386" spans="2:10" ht="15.75" customHeight="1">
      <c r="B386" s="162">
        <v>30</v>
      </c>
      <c r="C386" s="17" t="s">
        <v>289</v>
      </c>
      <c r="D386" s="17"/>
      <c r="E386" s="17"/>
      <c r="F386" s="17"/>
      <c r="G386" s="17"/>
      <c r="H386" s="17"/>
      <c r="I386" s="17"/>
      <c r="J386" s="33"/>
    </row>
    <row r="387" spans="2:10" ht="15.75" customHeight="1">
      <c r="B387" s="162">
        <v>31</v>
      </c>
      <c r="C387" s="17" t="s">
        <v>290</v>
      </c>
      <c r="D387" s="17"/>
      <c r="E387" s="17"/>
      <c r="F387" s="17"/>
      <c r="G387" s="17"/>
      <c r="H387" s="17"/>
      <c r="I387" s="17"/>
      <c r="J387" s="33"/>
    </row>
    <row r="388" spans="2:10" ht="15.75" customHeight="1">
      <c r="B388" s="162">
        <v>32</v>
      </c>
      <c r="C388" s="17" t="s">
        <v>291</v>
      </c>
      <c r="D388" s="17"/>
      <c r="E388" s="17"/>
      <c r="F388" s="17"/>
      <c r="G388" s="17"/>
      <c r="H388" s="17"/>
      <c r="I388" s="17"/>
      <c r="J388" s="33"/>
    </row>
    <row r="389" spans="2:10" ht="15.75" customHeight="1">
      <c r="B389" s="162">
        <v>33</v>
      </c>
      <c r="C389" s="17" t="s">
        <v>294</v>
      </c>
      <c r="D389" s="17"/>
      <c r="E389" s="17"/>
      <c r="F389" s="17"/>
      <c r="G389" s="17"/>
      <c r="H389" s="17"/>
      <c r="I389" s="17"/>
      <c r="J389" s="33"/>
    </row>
    <row r="390" spans="2:10" ht="15.75" customHeight="1">
      <c r="B390" s="162">
        <v>34</v>
      </c>
      <c r="C390" s="17" t="s">
        <v>341</v>
      </c>
      <c r="D390" s="17"/>
      <c r="E390" s="17"/>
      <c r="F390" s="17"/>
      <c r="G390" s="17"/>
      <c r="H390" s="17"/>
      <c r="I390" s="17"/>
      <c r="J390" s="33"/>
    </row>
    <row r="391" spans="2:10" ht="15.75" customHeight="1">
      <c r="B391" s="162">
        <v>35</v>
      </c>
      <c r="C391" s="17" t="s">
        <v>295</v>
      </c>
      <c r="D391" s="17"/>
      <c r="E391" s="17"/>
      <c r="F391" s="17"/>
      <c r="G391" s="17"/>
      <c r="H391" s="17"/>
      <c r="I391" s="17"/>
      <c r="J391" s="33"/>
    </row>
    <row r="392" spans="2:10" ht="15.75" customHeight="1">
      <c r="B392" s="162">
        <v>36</v>
      </c>
      <c r="C392" s="17" t="s">
        <v>455</v>
      </c>
      <c r="D392" s="17"/>
      <c r="E392" s="17"/>
      <c r="F392" s="17"/>
      <c r="G392" s="17"/>
      <c r="H392" s="17"/>
      <c r="I392" s="17"/>
      <c r="J392" s="33"/>
    </row>
    <row r="393" spans="2:10" ht="15.75" customHeight="1">
      <c r="B393" s="162">
        <v>37</v>
      </c>
      <c r="C393" s="17" t="s">
        <v>296</v>
      </c>
      <c r="D393" s="17"/>
      <c r="E393" s="17"/>
      <c r="F393" s="17"/>
      <c r="G393" s="17"/>
      <c r="H393" s="17"/>
      <c r="I393" s="17"/>
      <c r="J393" s="33"/>
    </row>
    <row r="394" spans="2:10" ht="15.75" customHeight="1">
      <c r="B394" s="162">
        <v>38</v>
      </c>
      <c r="C394" s="17" t="s">
        <v>297</v>
      </c>
      <c r="D394" s="17"/>
      <c r="E394" s="17"/>
      <c r="F394" s="17"/>
      <c r="G394" s="17"/>
      <c r="H394" s="17"/>
      <c r="I394" s="17"/>
      <c r="J394" s="33"/>
    </row>
    <row r="395" spans="2:10" ht="15.75" customHeight="1">
      <c r="B395" s="162">
        <v>39</v>
      </c>
      <c r="C395" s="17" t="s">
        <v>298</v>
      </c>
      <c r="D395" s="17"/>
      <c r="E395" s="17"/>
      <c r="F395" s="17"/>
      <c r="G395" s="17"/>
      <c r="H395" s="17"/>
      <c r="I395" s="17"/>
      <c r="J395" s="33"/>
    </row>
    <row r="396" spans="2:10" ht="15.75" customHeight="1">
      <c r="B396" s="162">
        <v>40</v>
      </c>
      <c r="C396" s="17" t="s">
        <v>299</v>
      </c>
      <c r="D396" s="17"/>
      <c r="E396" s="17"/>
      <c r="F396" s="17"/>
      <c r="G396" s="17"/>
      <c r="H396" s="17"/>
      <c r="I396" s="17"/>
      <c r="J396" s="33"/>
    </row>
    <row r="397" spans="2:10" ht="15.75" customHeight="1">
      <c r="B397" s="162">
        <v>41</v>
      </c>
      <c r="C397" s="17" t="s">
        <v>312</v>
      </c>
      <c r="D397" s="17"/>
      <c r="E397" s="17"/>
      <c r="F397" s="17"/>
      <c r="G397" s="17"/>
      <c r="H397" s="17"/>
      <c r="I397" s="17"/>
      <c r="J397" s="33"/>
    </row>
    <row r="398" spans="2:10" ht="15.75" customHeight="1">
      <c r="B398" s="162">
        <v>42</v>
      </c>
      <c r="C398" s="17" t="s">
        <v>254</v>
      </c>
      <c r="D398" s="17"/>
      <c r="E398" s="17"/>
      <c r="F398" s="17"/>
      <c r="G398" s="17"/>
      <c r="H398" s="17"/>
      <c r="I398" s="17"/>
      <c r="J398" s="33"/>
    </row>
    <row r="399" spans="2:10" ht="15.75" customHeight="1">
      <c r="B399" s="162">
        <v>43</v>
      </c>
      <c r="C399" s="17" t="s">
        <v>456</v>
      </c>
      <c r="D399" s="17"/>
      <c r="E399" s="17"/>
      <c r="F399" s="17"/>
      <c r="G399" s="17"/>
      <c r="H399" s="17"/>
      <c r="I399" s="17"/>
      <c r="J399" s="33"/>
    </row>
    <row r="400" spans="2:10" ht="15.75" customHeight="1">
      <c r="B400" s="162">
        <v>44</v>
      </c>
      <c r="C400" s="17" t="s">
        <v>316</v>
      </c>
      <c r="D400" s="17"/>
      <c r="E400" s="17"/>
      <c r="F400" s="17"/>
      <c r="G400" s="17"/>
      <c r="H400" s="17"/>
      <c r="I400" s="17"/>
      <c r="J400" s="33"/>
    </row>
    <row r="401" spans="2:10" ht="15.75" customHeight="1">
      <c r="B401" s="162">
        <v>45</v>
      </c>
      <c r="C401" s="17" t="s">
        <v>457</v>
      </c>
      <c r="D401" s="17"/>
      <c r="E401" s="17"/>
      <c r="F401" s="17"/>
      <c r="G401" s="17"/>
      <c r="H401" s="17"/>
      <c r="I401" s="17"/>
      <c r="J401" s="33"/>
    </row>
    <row r="402" spans="2:10" ht="15.75" customHeight="1">
      <c r="B402" s="162">
        <v>46</v>
      </c>
      <c r="C402" s="17" t="s">
        <v>254</v>
      </c>
      <c r="D402" s="17"/>
      <c r="E402" s="17"/>
      <c r="F402" s="17"/>
      <c r="G402" s="17"/>
      <c r="H402" s="17"/>
      <c r="I402" s="17"/>
      <c r="J402" s="33"/>
    </row>
    <row r="403" spans="2:10" ht="15.75" customHeight="1">
      <c r="B403" s="162">
        <v>47</v>
      </c>
      <c r="C403" s="17" t="s">
        <v>368</v>
      </c>
      <c r="D403" s="17"/>
      <c r="E403" s="17"/>
      <c r="F403" s="17"/>
      <c r="G403" s="17"/>
      <c r="H403" s="17"/>
      <c r="I403" s="17"/>
      <c r="J403" s="33"/>
    </row>
    <row r="404" spans="2:10" ht="15.75" customHeight="1">
      <c r="B404" s="162">
        <v>48</v>
      </c>
      <c r="C404" s="17" t="s">
        <v>458</v>
      </c>
      <c r="D404" s="17"/>
      <c r="E404" s="17"/>
      <c r="F404" s="17"/>
      <c r="G404" s="17"/>
      <c r="H404" s="17"/>
      <c r="I404" s="17"/>
      <c r="J404" s="33"/>
    </row>
    <row r="405" spans="2:10" ht="15.75" customHeight="1">
      <c r="B405" s="162">
        <v>49</v>
      </c>
      <c r="C405" s="17" t="s">
        <v>384</v>
      </c>
      <c r="D405" s="17"/>
      <c r="E405" s="17"/>
      <c r="F405" s="17"/>
      <c r="G405" s="17"/>
      <c r="H405" s="17"/>
      <c r="I405" s="17"/>
      <c r="J405" s="33"/>
    </row>
    <row r="406" spans="2:10" ht="15.75" customHeight="1">
      <c r="B406" s="162">
        <v>50</v>
      </c>
      <c r="C406" s="17" t="s">
        <v>347</v>
      </c>
      <c r="D406" s="17"/>
      <c r="E406" s="17"/>
      <c r="F406" s="17"/>
      <c r="G406" s="17"/>
      <c r="H406" s="17"/>
      <c r="I406" s="17"/>
      <c r="J406" s="33"/>
    </row>
    <row r="407" spans="2:10" ht="15.75" customHeight="1">
      <c r="B407" s="162">
        <v>51</v>
      </c>
      <c r="C407" s="17" t="s">
        <v>349</v>
      </c>
      <c r="D407" s="17"/>
      <c r="E407" s="17"/>
      <c r="F407" s="17"/>
      <c r="G407" s="17"/>
      <c r="H407" s="17"/>
      <c r="I407" s="17"/>
      <c r="J407" s="33"/>
    </row>
    <row r="408" spans="2:10" ht="15.75" customHeight="1">
      <c r="B408" s="162">
        <v>52</v>
      </c>
      <c r="C408" s="17" t="s">
        <v>292</v>
      </c>
      <c r="D408" s="17"/>
      <c r="E408" s="17"/>
      <c r="F408" s="17"/>
      <c r="G408" s="17"/>
      <c r="H408" s="17"/>
      <c r="I408" s="17"/>
      <c r="J408" s="33"/>
    </row>
    <row r="409" spans="2:10" ht="15.75" customHeight="1">
      <c r="B409" s="162">
        <v>53</v>
      </c>
      <c r="C409" s="17" t="s">
        <v>254</v>
      </c>
      <c r="D409" s="17"/>
      <c r="E409" s="17"/>
      <c r="F409" s="17"/>
      <c r="G409" s="17"/>
      <c r="H409" s="17"/>
      <c r="I409" s="17"/>
      <c r="J409" s="33"/>
    </row>
    <row r="410" spans="2:10" ht="31.5" customHeight="1">
      <c r="B410" s="162">
        <v>54</v>
      </c>
      <c r="C410" s="166" t="s">
        <v>459</v>
      </c>
      <c r="D410" s="166"/>
      <c r="E410" s="166"/>
      <c r="F410" s="166"/>
      <c r="G410" s="166"/>
      <c r="H410" s="166"/>
      <c r="I410" s="166"/>
      <c r="J410" s="33"/>
    </row>
    <row r="411" spans="2:10" ht="15.75" customHeight="1">
      <c r="B411" s="162">
        <v>55</v>
      </c>
      <c r="C411" s="17" t="s">
        <v>238</v>
      </c>
      <c r="D411" s="17"/>
      <c r="E411" s="17"/>
      <c r="F411" s="17"/>
      <c r="G411" s="17"/>
      <c r="H411" s="17"/>
      <c r="I411" s="17"/>
      <c r="J411" s="33"/>
    </row>
    <row r="412" spans="2:10" ht="15.75" customHeight="1">
      <c r="B412" s="162"/>
      <c r="C412" s="17" t="s">
        <v>160</v>
      </c>
      <c r="D412" s="17"/>
      <c r="E412" s="17"/>
      <c r="F412" s="17"/>
      <c r="G412" s="17"/>
      <c r="H412" s="17"/>
      <c r="I412" s="17"/>
      <c r="J412" s="33"/>
    </row>
    <row r="413" spans="2:10" ht="31.5" customHeight="1">
      <c r="B413" s="162">
        <v>57</v>
      </c>
      <c r="C413" s="166" t="s">
        <v>460</v>
      </c>
      <c r="D413" s="166"/>
      <c r="E413" s="166"/>
      <c r="F413" s="166"/>
      <c r="G413" s="166"/>
      <c r="H413" s="166"/>
      <c r="I413" s="166"/>
      <c r="J413" s="33"/>
    </row>
    <row r="414" spans="2:10" ht="15.75" customHeight="1">
      <c r="B414" s="162">
        <v>58</v>
      </c>
      <c r="C414" s="17" t="s">
        <v>461</v>
      </c>
      <c r="D414" s="17"/>
      <c r="E414" s="17"/>
      <c r="F414" s="17"/>
      <c r="G414" s="17"/>
      <c r="H414" s="17"/>
      <c r="I414" s="17"/>
      <c r="J414" s="33"/>
    </row>
    <row r="415" spans="2:10" ht="29.25" customHeight="1">
      <c r="B415" s="162">
        <v>59</v>
      </c>
      <c r="C415" s="166" t="s">
        <v>462</v>
      </c>
      <c r="D415" s="166"/>
      <c r="E415" s="166"/>
      <c r="F415" s="166"/>
      <c r="G415" s="166"/>
      <c r="H415" s="166"/>
      <c r="I415" s="166"/>
      <c r="J415" s="33"/>
    </row>
    <row r="416" spans="2:10" ht="15.75" customHeight="1">
      <c r="B416" s="162"/>
      <c r="C416" s="17" t="s">
        <v>239</v>
      </c>
      <c r="D416" s="17"/>
      <c r="E416" s="17"/>
      <c r="F416" s="17"/>
      <c r="G416" s="17"/>
      <c r="H416" s="17"/>
      <c r="I416" s="17"/>
      <c r="J416" s="33"/>
    </row>
    <row r="417" spans="2:10" ht="30" customHeight="1">
      <c r="B417" s="162"/>
      <c r="C417" s="166" t="s">
        <v>463</v>
      </c>
      <c r="D417" s="166"/>
      <c r="E417" s="166"/>
      <c r="F417" s="166"/>
      <c r="G417" s="166"/>
      <c r="H417" s="166"/>
      <c r="I417" s="166"/>
      <c r="J417" s="33"/>
    </row>
    <row r="418" spans="2:10" ht="15.75" customHeight="1">
      <c r="B418" s="162"/>
      <c r="C418" s="17" t="s">
        <v>240</v>
      </c>
      <c r="D418" s="17"/>
      <c r="E418" s="17"/>
      <c r="F418" s="17"/>
      <c r="G418" s="17"/>
      <c r="H418" s="17"/>
      <c r="I418" s="17"/>
      <c r="J418" s="33"/>
    </row>
    <row r="419" spans="2:10" ht="15.75" customHeight="1">
      <c r="B419" s="162"/>
      <c r="C419" s="17" t="s">
        <v>253</v>
      </c>
      <c r="D419" s="17"/>
      <c r="E419" s="17"/>
      <c r="F419" s="17"/>
      <c r="G419" s="17"/>
      <c r="H419" s="17"/>
      <c r="I419" s="17"/>
      <c r="J419" s="33"/>
    </row>
    <row r="420" spans="2:10" ht="30" customHeight="1">
      <c r="B420" s="162"/>
      <c r="C420" s="166" t="s">
        <v>242</v>
      </c>
      <c r="D420" s="166"/>
      <c r="E420" s="166"/>
      <c r="F420" s="166"/>
      <c r="G420" s="166"/>
      <c r="H420" s="166"/>
      <c r="I420" s="166"/>
      <c r="J420" s="33"/>
    </row>
    <row r="421" spans="2:10" ht="30" customHeight="1">
      <c r="B421" s="162">
        <v>60</v>
      </c>
      <c r="C421" s="166" t="s">
        <v>464</v>
      </c>
      <c r="D421" s="166"/>
      <c r="E421" s="166"/>
      <c r="F421" s="166"/>
      <c r="G421" s="166"/>
      <c r="H421" s="166"/>
      <c r="I421" s="166"/>
      <c r="J421" s="166"/>
    </row>
    <row r="422" spans="2:10" ht="27" customHeight="1">
      <c r="B422" s="162"/>
      <c r="C422" s="166" t="s">
        <v>465</v>
      </c>
      <c r="D422" s="166"/>
      <c r="E422" s="166"/>
      <c r="F422" s="166"/>
      <c r="G422" s="166"/>
      <c r="H422" s="166"/>
      <c r="I422" s="166"/>
      <c r="J422" s="166"/>
    </row>
    <row r="423" spans="2:10" ht="15.75" customHeight="1">
      <c r="B423" s="162" t="s">
        <v>300</v>
      </c>
      <c r="C423" s="17" t="s">
        <v>301</v>
      </c>
      <c r="D423" s="17"/>
      <c r="E423" s="17"/>
      <c r="F423" s="17"/>
      <c r="G423" s="17"/>
      <c r="H423" s="17"/>
      <c r="I423" s="17"/>
      <c r="J423" s="33"/>
    </row>
    <row r="424" spans="2:10" ht="15.75" customHeight="1">
      <c r="B424" s="162"/>
      <c r="C424" s="17" t="s">
        <v>302</v>
      </c>
      <c r="D424" s="17"/>
      <c r="E424" s="17"/>
      <c r="F424" s="17"/>
      <c r="G424" s="17"/>
      <c r="H424" s="17"/>
      <c r="I424" s="17"/>
      <c r="J424" s="33"/>
    </row>
    <row r="425" spans="2:10" ht="15.75" customHeight="1">
      <c r="B425" s="162" t="s">
        <v>338</v>
      </c>
      <c r="C425" s="166" t="s">
        <v>467</v>
      </c>
      <c r="D425" s="166"/>
      <c r="E425" s="166"/>
      <c r="F425" s="166"/>
      <c r="G425" s="166"/>
      <c r="H425" s="166"/>
      <c r="I425" s="166"/>
      <c r="J425" s="166"/>
    </row>
    <row r="426" spans="2:10" ht="29.25" customHeight="1">
      <c r="B426" s="162" t="s">
        <v>388</v>
      </c>
      <c r="C426" s="166" t="s">
        <v>468</v>
      </c>
      <c r="D426" s="166"/>
      <c r="E426" s="166"/>
      <c r="F426" s="166"/>
      <c r="G426" s="166"/>
      <c r="H426" s="166"/>
      <c r="I426" s="166"/>
      <c r="J426" s="166"/>
    </row>
    <row r="427" spans="2:10" ht="15.75" customHeight="1">
      <c r="B427" s="162" t="s">
        <v>392</v>
      </c>
      <c r="C427" s="166" t="s">
        <v>688</v>
      </c>
      <c r="D427" s="166"/>
      <c r="E427" s="166"/>
      <c r="F427" s="166"/>
      <c r="G427" s="166"/>
      <c r="H427" s="166"/>
      <c r="I427" s="166"/>
      <c r="J427" s="166"/>
    </row>
    <row r="428" spans="2:10" ht="15.75" customHeight="1">
      <c r="B428" s="162"/>
      <c r="C428" s="166"/>
      <c r="D428" s="166"/>
      <c r="E428" s="166"/>
      <c r="F428" s="166"/>
      <c r="G428" s="166"/>
      <c r="H428" s="166"/>
      <c r="I428" s="166"/>
      <c r="J428" s="166"/>
    </row>
    <row r="429" spans="2:10" ht="15.75" customHeight="1">
      <c r="B429" s="162" t="s">
        <v>308</v>
      </c>
      <c r="C429" s="17" t="s">
        <v>293</v>
      </c>
      <c r="D429" s="17"/>
      <c r="E429" s="17"/>
      <c r="F429" s="17"/>
      <c r="G429" s="17"/>
      <c r="H429" s="17"/>
      <c r="I429" s="17"/>
      <c r="J429" s="33"/>
    </row>
    <row r="430" spans="2:10" ht="15.75" customHeight="1">
      <c r="B430" s="162"/>
      <c r="C430" s="17" t="s">
        <v>270</v>
      </c>
      <c r="D430" s="17"/>
      <c r="E430" s="17"/>
      <c r="F430" s="17"/>
      <c r="G430" s="17"/>
      <c r="H430" s="17"/>
      <c r="I430" s="17"/>
      <c r="J430" s="33"/>
    </row>
    <row r="431" spans="2:10" ht="15.75" customHeight="1">
      <c r="B431" s="162" t="s">
        <v>161</v>
      </c>
      <c r="C431" s="17" t="s">
        <v>219</v>
      </c>
      <c r="D431" s="17"/>
      <c r="E431" s="17"/>
      <c r="F431" s="17"/>
      <c r="G431" s="17"/>
      <c r="H431" s="17"/>
      <c r="I431" s="17"/>
      <c r="J431" s="33"/>
    </row>
    <row r="432" spans="2:10" ht="15.75" customHeight="1">
      <c r="B432" s="162"/>
      <c r="C432" s="17" t="s">
        <v>309</v>
      </c>
      <c r="D432" s="17"/>
      <c r="E432" s="17"/>
      <c r="F432" s="17"/>
      <c r="G432" s="17"/>
      <c r="H432" s="17"/>
      <c r="I432" s="17"/>
      <c r="J432" s="33"/>
    </row>
    <row r="433" spans="2:10" ht="15.75" customHeight="1">
      <c r="B433" s="162" t="s">
        <v>310</v>
      </c>
      <c r="C433" s="17" t="s">
        <v>327</v>
      </c>
      <c r="D433" s="17"/>
      <c r="E433" s="17"/>
      <c r="F433" s="17"/>
      <c r="G433" s="17"/>
      <c r="H433" s="17"/>
      <c r="I433" s="17"/>
      <c r="J433" s="33"/>
    </row>
    <row r="434" spans="2:10" ht="15.75" customHeight="1">
      <c r="B434" s="162" t="s">
        <v>321</v>
      </c>
      <c r="C434" s="17" t="s">
        <v>328</v>
      </c>
      <c r="D434" s="17"/>
      <c r="E434" s="17"/>
      <c r="F434" s="17"/>
      <c r="G434" s="17"/>
      <c r="H434" s="17"/>
      <c r="I434" s="17"/>
      <c r="J434" s="33"/>
    </row>
    <row r="435" spans="2:10" ht="15.75" customHeight="1">
      <c r="B435" s="162" t="s">
        <v>466</v>
      </c>
      <c r="C435" s="17" t="s">
        <v>411</v>
      </c>
      <c r="D435" s="17"/>
      <c r="E435" s="17"/>
      <c r="F435" s="17"/>
      <c r="G435" s="17"/>
      <c r="H435" s="17"/>
      <c r="I435" s="17"/>
      <c r="J435" s="33"/>
    </row>
    <row r="436" spans="2:10" ht="15.75" customHeight="1">
      <c r="B436" s="162" t="s">
        <v>449</v>
      </c>
      <c r="C436" s="17" t="s">
        <v>450</v>
      </c>
      <c r="D436" s="17"/>
      <c r="E436" s="17"/>
      <c r="F436" s="17"/>
      <c r="G436" s="17"/>
      <c r="H436" s="17"/>
      <c r="I436" s="17"/>
      <c r="J436" s="33"/>
    </row>
    <row r="437" spans="2:4" ht="15.75" customHeight="1">
      <c r="B437" s="169" t="s">
        <v>696</v>
      </c>
      <c r="C437" s="166"/>
      <c r="D437" s="166"/>
    </row>
  </sheetData>
  <sheetProtection/>
  <mergeCells count="79">
    <mergeCell ref="A327:I327"/>
    <mergeCell ref="A330:D330"/>
    <mergeCell ref="A8:I8"/>
    <mergeCell ref="A4:I4"/>
    <mergeCell ref="A5:B5"/>
    <mergeCell ref="F5:G5"/>
    <mergeCell ref="H5:I5"/>
    <mergeCell ref="A6:I6"/>
    <mergeCell ref="A7:I7"/>
    <mergeCell ref="A41:I41"/>
    <mergeCell ref="A25:D25"/>
    <mergeCell ref="A26:I26"/>
    <mergeCell ref="A268:D268"/>
    <mergeCell ref="A196:I196"/>
    <mergeCell ref="A249:D249"/>
    <mergeCell ref="A238:I238"/>
    <mergeCell ref="A171:I171"/>
    <mergeCell ref="A195:D195"/>
    <mergeCell ref="A250:I250"/>
    <mergeCell ref="A259:D259"/>
    <mergeCell ref="A11:D11"/>
    <mergeCell ref="A13:I13"/>
    <mergeCell ref="A98:I98"/>
    <mergeCell ref="A136:D136"/>
    <mergeCell ref="A137:I137"/>
    <mergeCell ref="A170:D170"/>
    <mergeCell ref="A40:D40"/>
    <mergeCell ref="A65:D65"/>
    <mergeCell ref="A66:I66"/>
    <mergeCell ref="A14:I14"/>
    <mergeCell ref="A260:I260"/>
    <mergeCell ref="A306:D306"/>
    <mergeCell ref="A97:D97"/>
    <mergeCell ref="A307:I307"/>
    <mergeCell ref="A311:D311"/>
    <mergeCell ref="A269:I269"/>
    <mergeCell ref="A213:D213"/>
    <mergeCell ref="A214:I214"/>
    <mergeCell ref="A222:D222"/>
    <mergeCell ref="A223:I223"/>
    <mergeCell ref="A237:D237"/>
    <mergeCell ref="A331:D331"/>
    <mergeCell ref="A312:I312"/>
    <mergeCell ref="A280:D280"/>
    <mergeCell ref="A281:I281"/>
    <mergeCell ref="A290:D290"/>
    <mergeCell ref="A291:I291"/>
    <mergeCell ref="A298:D298"/>
    <mergeCell ref="A299:I299"/>
    <mergeCell ref="A303:D303"/>
    <mergeCell ref="A304:I304"/>
    <mergeCell ref="A333:I333"/>
    <mergeCell ref="A337:D337"/>
    <mergeCell ref="C341:I341"/>
    <mergeCell ref="C342:I342"/>
    <mergeCell ref="C344:I344"/>
    <mergeCell ref="A317:D317"/>
    <mergeCell ref="A318:I318"/>
    <mergeCell ref="A322:D322"/>
    <mergeCell ref="A323:I323"/>
    <mergeCell ref="A326:D326"/>
    <mergeCell ref="B437:D437"/>
    <mergeCell ref="C357:I357"/>
    <mergeCell ref="C360:I360"/>
    <mergeCell ref="C362:I362"/>
    <mergeCell ref="C365:I365"/>
    <mergeCell ref="C410:I410"/>
    <mergeCell ref="C413:I413"/>
    <mergeCell ref="C417:I417"/>
    <mergeCell ref="C420:I420"/>
    <mergeCell ref="C421:J421"/>
    <mergeCell ref="C425:J425"/>
    <mergeCell ref="C426:J426"/>
    <mergeCell ref="C427:J428"/>
    <mergeCell ref="C351:I351"/>
    <mergeCell ref="C355:I355"/>
    <mergeCell ref="C356:I356"/>
    <mergeCell ref="C422:J422"/>
    <mergeCell ref="C415:I415"/>
  </mergeCells>
  <printOptions horizontalCentered="1"/>
  <pageMargins left="0" right="0" top="0.4330708661417323" bottom="0.8267716535433072" header="0.1968503937007874" footer="0.1968503937007874"/>
  <pageSetup firstPageNumber="113" useFirstPageNumber="1" fitToHeight="0" fitToWidth="1" horizontalDpi="600" verticalDpi="600" orientation="portrait" paperSize="9" scale="6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COPRI</dc:creator>
  <cp:keywords/>
  <dc:description/>
  <cp:lastModifiedBy>Jaime Cueva Llanos</cp:lastModifiedBy>
  <cp:lastPrinted>2017-07-19T21:15:57Z</cp:lastPrinted>
  <dcterms:created xsi:type="dcterms:W3CDTF">1997-07-03T17:36:28Z</dcterms:created>
  <dcterms:modified xsi:type="dcterms:W3CDTF">2018-02-27T14:04:24Z</dcterms:modified>
  <cp:category/>
  <cp:version/>
  <cp:contentType/>
  <cp:contentStatus/>
</cp:coreProperties>
</file>