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270" windowWidth="7530" windowHeight="6780" tabRatio="884" activeTab="0"/>
  </bookViews>
  <sheets>
    <sheet name="3.2. Reporte de Proyectos" sheetId="1" r:id="rId1"/>
  </sheets>
  <definedNames>
    <definedName name="_xlnm.Print_Area" localSheetId="0">'3.2. Reporte de Proyectos'!$A$1:$I$725</definedName>
    <definedName name="_xlnm.Print_Titles" localSheetId="0">'3.2. Reporte de Proyectos'!$1:$5</definedName>
  </definedNames>
  <calcPr fullCalcOnLoad="1"/>
</workbook>
</file>

<file path=xl/comments1.xml><?xml version="1.0" encoding="utf-8"?>
<comments xmlns="http://schemas.openxmlformats.org/spreadsheetml/2006/main">
  <authors>
    <author>mciudad</author>
    <author>nzegarra</author>
    <author>hrodriguez</author>
    <author>cguevara</author>
  </authors>
  <commentList>
    <comment ref="F297" authorId="0">
      <text>
        <r>
          <rPr>
            <b/>
            <sz val="8"/>
            <rFont val="Tahoma"/>
            <family val="2"/>
          </rPr>
          <t>montos iniciales de contraprestación: $250,000 calcáreos
$110,000 diatomitas
$100,000 yeso
Los montos de contraprestación diferida son a razón de $5.10, $1.50 y $0.60 por cada Tm de extracción</t>
        </r>
      </text>
    </comment>
    <comment ref="F301" authorId="1">
      <text>
        <r>
          <rPr>
            <b/>
            <sz val="8"/>
            <rFont val="Tahoma"/>
            <family val="2"/>
          </rPr>
          <t>1 Millon el 15.09.04  
1 Millon el 15.09.05   
Pagos realizados a cuenta de las Regalías. A la firma del Contrato de Transferencia firmado el 26.04.08 las Regalías se establecieron en 1.7% de las Ventas Netas durante la vida útil de la Mina, pagaderos semestralmente.</t>
        </r>
      </text>
    </comment>
    <comment ref="F302" authorId="2">
      <text>
        <r>
          <rPr>
            <b/>
            <sz val="8"/>
            <rFont val="Tahoma"/>
            <family val="2"/>
          </rPr>
          <t xml:space="preserve">hrodriguez: Al tipo de cambio bancario del 28.10.08. T.C.= 3.104 Fuente: BCR </t>
        </r>
        <r>
          <rPr>
            <sz val="8"/>
            <rFont val="Tahoma"/>
            <family val="2"/>
          </rPr>
          <t xml:space="preserve">
</t>
        </r>
      </text>
    </comment>
    <comment ref="G315" authorId="3">
      <text>
        <r>
          <rPr>
            <b/>
            <sz val="8"/>
            <rFont val="Tahoma"/>
            <family val="2"/>
          </rPr>
          <t>cguevara:</t>
        </r>
        <r>
          <rPr>
            <sz val="8"/>
            <rFont val="Tahoma"/>
            <family val="2"/>
          </rPr>
          <t xml:space="preserve">
Tipo de cambio 2.75</t>
        </r>
      </text>
    </comment>
    <comment ref="I415" authorId="3">
      <text>
        <r>
          <rPr>
            <b/>
            <sz val="8"/>
            <rFont val="Tahoma"/>
            <family val="2"/>
          </rPr>
          <t>cguevara:</t>
        </r>
        <r>
          <rPr>
            <sz val="8"/>
            <rFont val="Tahoma"/>
            <family val="2"/>
          </rPr>
          <t xml:space="preserve">
tipo de cambio promedio de fecha de adjudicación</t>
        </r>
      </text>
    </comment>
    <comment ref="I400" authorId="3">
      <text>
        <r>
          <rPr>
            <b/>
            <sz val="8"/>
            <rFont val="Tahoma"/>
            <family val="2"/>
          </rPr>
          <t>cguevara:</t>
        </r>
        <r>
          <rPr>
            <sz val="8"/>
            <rFont val="Tahoma"/>
            <family val="2"/>
          </rPr>
          <t xml:space="preserve">
Tipo de cambio promedio de fecha de adjudicación</t>
        </r>
      </text>
    </comment>
    <comment ref="G319" authorId="3">
      <text>
        <r>
          <rPr>
            <b/>
            <sz val="8"/>
            <rFont val="Tahoma"/>
            <family val="2"/>
          </rPr>
          <t>cguevara:</t>
        </r>
        <r>
          <rPr>
            <sz val="8"/>
            <rFont val="Tahoma"/>
            <family val="2"/>
          </rPr>
          <t xml:space="preserve">
TC promedio: 2.668 del día 18.05.12</t>
        </r>
      </text>
    </comment>
    <comment ref="G320" authorId="3">
      <text>
        <r>
          <rPr>
            <b/>
            <sz val="8"/>
            <rFont val="Tahoma"/>
            <family val="2"/>
          </rPr>
          <t>cguevara:</t>
        </r>
        <r>
          <rPr>
            <sz val="8"/>
            <rFont val="Tahoma"/>
            <family val="2"/>
          </rPr>
          <t xml:space="preserve">
Tipo de cambio promedio del 28.05.12: 2.69</t>
        </r>
      </text>
    </comment>
    <comment ref="G321" authorId="3">
      <text>
        <r>
          <rPr>
            <b/>
            <sz val="8"/>
            <rFont val="Tahoma"/>
            <family val="2"/>
          </rPr>
          <t>cguevara:</t>
        </r>
        <r>
          <rPr>
            <sz val="8"/>
            <rFont val="Tahoma"/>
            <family val="2"/>
          </rPr>
          <t xml:space="preserve">
TC del 07.11.12: 2.56
TC del 29.11.12: 2.58</t>
        </r>
      </text>
    </comment>
    <comment ref="G325" authorId="3">
      <text>
        <r>
          <rPr>
            <b/>
            <sz val="8"/>
            <rFont val="Tahoma"/>
            <family val="2"/>
          </rPr>
          <t>cguevara:</t>
        </r>
        <r>
          <rPr>
            <sz val="8"/>
            <rFont val="Tahoma"/>
            <family val="2"/>
          </rPr>
          <t xml:space="preserve">
Tipo de cambio del 08.08.2013: 2.79</t>
        </r>
      </text>
    </comment>
    <comment ref="F328" authorId="3">
      <text>
        <r>
          <rPr>
            <b/>
            <sz val="8"/>
            <rFont val="Tahoma"/>
            <family val="2"/>
          </rPr>
          <t>cguevara:</t>
        </r>
        <r>
          <rPr>
            <sz val="8"/>
            <rFont val="Tahoma"/>
            <family val="2"/>
          </rPr>
          <t xml:space="preserve">
Tipo de cambio promedio de día 26.05.2014: 2.78</t>
        </r>
      </text>
    </comment>
    <comment ref="F329" authorId="3">
      <text>
        <r>
          <rPr>
            <b/>
            <sz val="8"/>
            <rFont val="Tahoma"/>
            <family val="2"/>
          </rPr>
          <t>cguevara:</t>
        </r>
        <r>
          <rPr>
            <sz val="8"/>
            <rFont val="Tahoma"/>
            <family val="2"/>
          </rPr>
          <t xml:space="preserve">
Tipo de cambio promedio de día 26.06.2014: 2.80</t>
        </r>
      </text>
    </comment>
  </commentList>
</comments>
</file>

<file path=xl/sharedStrings.xml><?xml version="1.0" encoding="utf-8"?>
<sst xmlns="http://schemas.openxmlformats.org/spreadsheetml/2006/main" count="1714" uniqueCount="1123">
  <si>
    <t>Lar Carbón</t>
  </si>
  <si>
    <t>abr-set.94</t>
  </si>
  <si>
    <t>Tierras de Chao</t>
  </si>
  <si>
    <t>Agricultura</t>
  </si>
  <si>
    <t>22.04.94</t>
  </si>
  <si>
    <t>Refinería de Ilo</t>
  </si>
  <si>
    <t>25.04.94</t>
  </si>
  <si>
    <t>SPL - Modulo de Licores, Cartavio</t>
  </si>
  <si>
    <t>abr. 94</t>
  </si>
  <si>
    <t>Partic. menores B. Nación</t>
  </si>
  <si>
    <t>Varios</t>
  </si>
  <si>
    <t>15.06.94</t>
  </si>
  <si>
    <t>Cementos Lima</t>
  </si>
  <si>
    <t>23.06.94</t>
  </si>
  <si>
    <t>Epsep (activos )</t>
  </si>
  <si>
    <t>12.07.94</t>
  </si>
  <si>
    <t>Edelnor</t>
  </si>
  <si>
    <t>Edelsur</t>
  </si>
  <si>
    <t>20.07.94</t>
  </si>
  <si>
    <t>Interbanc</t>
  </si>
  <si>
    <t>31.08.94</t>
  </si>
  <si>
    <t>Sind. de Inv. y Administr.</t>
  </si>
  <si>
    <t>Servicios</t>
  </si>
  <si>
    <t>05.09.94</t>
  </si>
  <si>
    <t>Nuevas Inversiones S.A.</t>
  </si>
  <si>
    <t>06.10.94</t>
  </si>
  <si>
    <t>(c3)</t>
  </si>
  <si>
    <t>04.11.94</t>
  </si>
  <si>
    <t>(c4)</t>
  </si>
  <si>
    <t>25.11.94</t>
  </si>
  <si>
    <t xml:space="preserve">Pesca Perú - Chicama </t>
  </si>
  <si>
    <t>nov/dic 94</t>
  </si>
  <si>
    <t>12.12.94</t>
  </si>
  <si>
    <t xml:space="preserve">Pesca Perú - Chimbote C. </t>
  </si>
  <si>
    <t>16.12.94</t>
  </si>
  <si>
    <t>23.12.94</t>
  </si>
  <si>
    <t>18.11.10</t>
  </si>
  <si>
    <t xml:space="preserve">Pesca - Perú - Mollendo </t>
  </si>
  <si>
    <t>TOTAL 1994</t>
  </si>
  <si>
    <t>13.01.95</t>
  </si>
  <si>
    <t>Pesca Perú - La Planchada</t>
  </si>
  <si>
    <t>25.01.95</t>
  </si>
  <si>
    <t>Ertsa Puno</t>
  </si>
  <si>
    <t>27.01.95</t>
  </si>
  <si>
    <t>Pesca Perú - Atico</t>
  </si>
  <si>
    <t>Turismo</t>
  </si>
  <si>
    <t>01.01.95</t>
  </si>
  <si>
    <t>21.02.95</t>
  </si>
  <si>
    <t>23.02.95</t>
  </si>
  <si>
    <t>10.03.95</t>
  </si>
  <si>
    <t>18.04.95</t>
  </si>
  <si>
    <t>25.04.95</t>
  </si>
  <si>
    <t>may-ago 95</t>
  </si>
  <si>
    <t>Paradores, Inmuebles, marca H.de Turistas</t>
  </si>
  <si>
    <t>30.05.95</t>
  </si>
  <si>
    <t>Complejo Turístico El Chaco – La Puntilla - Lote B</t>
  </si>
  <si>
    <t>29.04.05</t>
  </si>
  <si>
    <t>Eje Multimodal del Amazonas Norte de IIRSA</t>
  </si>
  <si>
    <t>Corredor vial Interoceánico Sur:  Tramo 2, 3 y 4</t>
  </si>
  <si>
    <t>05.05.05</t>
  </si>
  <si>
    <t>23.06.05</t>
  </si>
  <si>
    <t>15.06.95</t>
  </si>
  <si>
    <t>05.06.95</t>
  </si>
  <si>
    <t>23.06.95</t>
  </si>
  <si>
    <t>06.07.95</t>
  </si>
  <si>
    <t>Minero Perú - Viviendas de Ilo</t>
  </si>
  <si>
    <t>15.08.95</t>
  </si>
  <si>
    <t>jul-ago 95</t>
  </si>
  <si>
    <t>Banco Continental - Trabajadores</t>
  </si>
  <si>
    <t>10.08.95</t>
  </si>
  <si>
    <t>Fertisa - Terreno de Oquendo</t>
  </si>
  <si>
    <t>11.08.95</t>
  </si>
  <si>
    <t>Pesca Perú  - Supe Norte</t>
  </si>
  <si>
    <t>ago 95</t>
  </si>
  <si>
    <t>Sider Perú S.A. - Inmuebles</t>
  </si>
  <si>
    <t>17.10.95</t>
  </si>
  <si>
    <t>20.10.95</t>
  </si>
  <si>
    <t>Enafer - Inmuebles</t>
  </si>
  <si>
    <t>31.10.95</t>
  </si>
  <si>
    <t xml:space="preserve"> (c)</t>
  </si>
  <si>
    <t>28.11.95</t>
  </si>
  <si>
    <t>30.11.95</t>
  </si>
  <si>
    <t>Mar - Dic 06</t>
  </si>
  <si>
    <t>31.10.06</t>
  </si>
  <si>
    <t>Tramo Empalme 1B - Buenos Aires - Canchaque</t>
  </si>
  <si>
    <t>Epsep - Mercado Mayorista Callao</t>
  </si>
  <si>
    <t>07.12.95</t>
  </si>
  <si>
    <t>15.12.95</t>
  </si>
  <si>
    <t>TOTAL 1995</t>
  </si>
  <si>
    <t>31.01.96</t>
  </si>
  <si>
    <t>17.03.00</t>
  </si>
  <si>
    <t>Centromin - Prospecto Aurífero Paucaray</t>
  </si>
  <si>
    <t>14.02.96</t>
  </si>
  <si>
    <t>10.04.96</t>
  </si>
  <si>
    <t>Ede- Chancay - Trabajadores</t>
  </si>
  <si>
    <t>23.04.96</t>
  </si>
  <si>
    <t>SPL - Máquina Papelera PPX-8</t>
  </si>
  <si>
    <t>15.05.96</t>
  </si>
  <si>
    <t xml:space="preserve">Epsep - Frigoríficos Pesq. Jaén y Celendín </t>
  </si>
  <si>
    <t>11.06.96</t>
  </si>
  <si>
    <t xml:space="preserve">Epersur - Inmueble Ilo </t>
  </si>
  <si>
    <t>jun-ago 96</t>
  </si>
  <si>
    <t>Epsep - Vehículos</t>
  </si>
  <si>
    <t>25.06.96</t>
  </si>
  <si>
    <t>27.06.96</t>
  </si>
  <si>
    <t>3 Jun/1 Jul</t>
  </si>
  <si>
    <t>Telecomunicac.</t>
  </si>
  <si>
    <t>3 Jun/ Jul</t>
  </si>
  <si>
    <t>1ro. Jul</t>
  </si>
  <si>
    <t>12.07.96</t>
  </si>
  <si>
    <t>17.07.96</t>
  </si>
  <si>
    <t>22.07.96</t>
  </si>
  <si>
    <t>15.08.96</t>
  </si>
  <si>
    <t>21.08.96</t>
  </si>
  <si>
    <t>22.10.96</t>
  </si>
  <si>
    <t>28.10.96</t>
  </si>
  <si>
    <t>30.10.96</t>
  </si>
  <si>
    <t>11.11.96</t>
  </si>
  <si>
    <t>05.12.96</t>
  </si>
  <si>
    <t>nov/dic 96</t>
  </si>
  <si>
    <t>30.12.96</t>
  </si>
  <si>
    <t xml:space="preserve">Pesca Perú Huarmey S.A.  </t>
  </si>
  <si>
    <t xml:space="preserve">TOTAL 1996 </t>
  </si>
  <si>
    <t>11.02.97</t>
  </si>
  <si>
    <t>26.02.97</t>
  </si>
  <si>
    <t>28.02.97</t>
  </si>
  <si>
    <t>Comunicación</t>
  </si>
  <si>
    <t>06.03.97</t>
  </si>
  <si>
    <t>21.03.97</t>
  </si>
  <si>
    <t>04.04.97</t>
  </si>
  <si>
    <t>Pesca Perú Ilo Centro S.A.</t>
  </si>
  <si>
    <t>15.04.97</t>
  </si>
  <si>
    <t>A3. VENTA DE ACTIVOS MENORES - OTROS INGRESOS</t>
  </si>
  <si>
    <t>VARIOS</t>
  </si>
  <si>
    <t>TOTAL ACTIVOS MENORES - OTROS INGRESOS</t>
  </si>
  <si>
    <t>TOTAL VENTAS  (A1+A2+A3)</t>
  </si>
  <si>
    <t>18.12.08</t>
  </si>
  <si>
    <t>Red Vial 4: Tramos Pativilca - Trujillo</t>
  </si>
  <si>
    <t>Programa Costa Sierra: Nuevo Mocupe – Cayaltí – Oyotún</t>
  </si>
  <si>
    <t>26.01.09</t>
  </si>
  <si>
    <t>26.02.09</t>
  </si>
  <si>
    <t>16.06.93</t>
  </si>
  <si>
    <t>17.11.93</t>
  </si>
  <si>
    <t>22.08.95</t>
  </si>
  <si>
    <t>29.10.96</t>
  </si>
  <si>
    <t>Petroperú - Lote X</t>
  </si>
  <si>
    <t>25.01.94</t>
  </si>
  <si>
    <t>25.08.95</t>
  </si>
  <si>
    <t>19.07.96</t>
  </si>
  <si>
    <t>12.12.95</t>
  </si>
  <si>
    <t>02.10.96</t>
  </si>
  <si>
    <t>TOTAL CAPITALIZACIONES</t>
  </si>
  <si>
    <t>RESUMEN :</t>
  </si>
  <si>
    <t>01.10.99</t>
  </si>
  <si>
    <t>Minero Perú - Ccayo  Huinicunca</t>
  </si>
  <si>
    <t>14.01.00</t>
  </si>
  <si>
    <t>Centromín - Prospecto Minero Quicay</t>
  </si>
  <si>
    <t>29.03.00</t>
  </si>
  <si>
    <t>NOTAS:</t>
  </si>
  <si>
    <t xml:space="preserve">Inversiones comprometidas.                       </t>
  </si>
  <si>
    <t xml:space="preserve">(c1) </t>
  </si>
  <si>
    <t>12.12.00</t>
  </si>
  <si>
    <t>94-97-Nov'00</t>
  </si>
  <si>
    <t>b5</t>
  </si>
  <si>
    <t xml:space="preserve">Concesión del Servicio de Comunicaciones Personales (PCS) por 20 años, con un pago de US$180 MM.    </t>
  </si>
  <si>
    <t xml:space="preserve">Servicio Telefonía Local y Serv.Portador Local   </t>
  </si>
  <si>
    <t>(c5)</t>
  </si>
  <si>
    <t xml:space="preserve">(c5) </t>
  </si>
  <si>
    <t>Compromiso de inversión expresado en metas físicas.   Inversión mínima US$2 MM y adicional de aprox. US$6 MM.</t>
  </si>
  <si>
    <t>29.01.01</t>
  </si>
  <si>
    <t>14.02.01</t>
  </si>
  <si>
    <t>22.03.01</t>
  </si>
  <si>
    <t>Participación Accionaria del 25% en ISCAYCRUZ</t>
  </si>
  <si>
    <t>16.02.01</t>
  </si>
  <si>
    <t>L.E. Pachachaca-Oroya-Carhuamayo-D.Antamina y Aguaytía-Pucallpa</t>
  </si>
  <si>
    <t>10 Prospectos Mineros</t>
  </si>
  <si>
    <t>08.01.01</t>
  </si>
  <si>
    <t>12 y 13.12.00</t>
  </si>
  <si>
    <t xml:space="preserve">TOTAL 1997    </t>
  </si>
  <si>
    <t xml:space="preserve">TOTAL 1999  </t>
  </si>
  <si>
    <t>19.06.01</t>
  </si>
  <si>
    <t>TECSUR S.A.A.</t>
  </si>
  <si>
    <t>Poliducto Pisco Lurin</t>
  </si>
  <si>
    <t>07.06.01</t>
  </si>
  <si>
    <t>11.07.01</t>
  </si>
  <si>
    <t>Tierras Eriazas  (174 has)</t>
  </si>
  <si>
    <t>20.07.01</t>
  </si>
  <si>
    <t>ELECTROANDES S.A.</t>
  </si>
  <si>
    <t>Tierras P.E. Chinecas (959.84 has)    **</t>
  </si>
  <si>
    <t>20.08.01</t>
  </si>
  <si>
    <t>Bayóvar (Seguna Fase)</t>
  </si>
  <si>
    <t>Corredor Vial Interoceánico Sur:  Tramo 1 y 5</t>
  </si>
  <si>
    <t>por el derecho de usufructo y superficie por un período de 30 años sobre el terreno, edificaciones e instalaciones fijas del Almacén.</t>
  </si>
  <si>
    <t>Inversión estimada si se ejerce opción.</t>
  </si>
  <si>
    <t>09.01.08</t>
  </si>
  <si>
    <t>Servicios Públicos de Telecomunicaciones en la Banda 450 MHZ.</t>
  </si>
  <si>
    <t>b3</t>
  </si>
  <si>
    <t>18.08.06</t>
  </si>
  <si>
    <t>25.10.01</t>
  </si>
  <si>
    <t xml:space="preserve">Area Experimental Proyecto Olmos </t>
  </si>
  <si>
    <t>16.10.01</t>
  </si>
  <si>
    <t>20.12.01</t>
  </si>
  <si>
    <t>2 inmuebles ubicados en Pta.Negra y Pta.Hermosa</t>
  </si>
  <si>
    <t xml:space="preserve">TOTAL OPCION DE TRANSFERENCIA - VIGENTES     </t>
  </si>
  <si>
    <t>Participaciones Minoritarias (Luz del Sur, Cervesur, Aceros Arequipa, Telefónica, Alicorp)</t>
  </si>
  <si>
    <t>Set-Dic 01</t>
  </si>
  <si>
    <t>06.11.01</t>
  </si>
  <si>
    <t>Compañía de Seg.de Crédito y Garantías SECREX</t>
  </si>
  <si>
    <t>Seguros</t>
  </si>
  <si>
    <t>TOTAL 2002</t>
  </si>
  <si>
    <t>30.01.02</t>
  </si>
  <si>
    <t>17.01.02</t>
  </si>
  <si>
    <t>29.01.02</t>
  </si>
  <si>
    <t>Cartera Crédito MEF - COFIDE (Laboratorios Atral)</t>
  </si>
  <si>
    <t>25.03.02</t>
  </si>
  <si>
    <t>Edelnor - Remanente Acciones (1er Tramo)</t>
  </si>
  <si>
    <t>Tierras P.E. Chavimochic (916 has)</t>
  </si>
  <si>
    <t xml:space="preserve">Tierras P.E. Chavimochic (4,220 has)   </t>
  </si>
  <si>
    <t>12.04.02</t>
  </si>
  <si>
    <t>22.05.02</t>
  </si>
  <si>
    <t>Edelnor - Remanente Acciones (2do Tramo)</t>
  </si>
  <si>
    <t>24.05.02</t>
  </si>
  <si>
    <t>05.06.02</t>
  </si>
  <si>
    <t>16.07.02</t>
  </si>
  <si>
    <t xml:space="preserve">Centromín - Unidad Minera Yauricocha </t>
  </si>
  <si>
    <t>30.04.02</t>
  </si>
  <si>
    <t xml:space="preserve">TOTAL 2001  </t>
  </si>
  <si>
    <t>29.02.02</t>
  </si>
  <si>
    <t>Inmueble ubicado Calle Punta Arenas, La Molina (SBN)</t>
  </si>
  <si>
    <t>08.06.09</t>
  </si>
  <si>
    <t>Banda 821-824 Mhz y 866-869 Mhz</t>
  </si>
  <si>
    <t>Inmueble ubicado Carretera a Cajamarquilla (SBN)</t>
  </si>
  <si>
    <t>28.10.08</t>
  </si>
  <si>
    <t>Inmuebles ubicado La Molina (SBN)</t>
  </si>
  <si>
    <t>a17</t>
  </si>
  <si>
    <t>a18</t>
  </si>
  <si>
    <t>El consorcio se adjudicó la Buena Pro al ofrecer una retribución de 5.50% de los ingresos por peajes.</t>
  </si>
  <si>
    <t>El consorcio se adjudicó la Buena Pro al ofrecer una retribución de 35% de los ingresos por el cobro de entradas.</t>
  </si>
  <si>
    <t>28.12.10</t>
  </si>
  <si>
    <t>29.12.10</t>
  </si>
  <si>
    <t>A1. SIN INTERVENCION DE PROINVERSIÓN (ANTES COPRI)</t>
  </si>
  <si>
    <t>A2. CON INTERVENCION DE PROINVERSIÓN  (ANTES COPRI)</t>
  </si>
  <si>
    <t>B.2. CON INTERVENCIÓN DE PROINVERSIÓN (ANTES COPRI)</t>
  </si>
  <si>
    <t xml:space="preserve">(c6) </t>
  </si>
  <si>
    <t>12.10.09</t>
  </si>
  <si>
    <t>Suministro de energia de nuevas centrales hidroeléctricas</t>
  </si>
  <si>
    <t>06.11.09</t>
  </si>
  <si>
    <t>TOTAL TRANSACCIONES - SIN INTERVENCION PROINVERSIÓN (ANTES COPRI)</t>
  </si>
  <si>
    <t>TOTAL TRANSACCIONES - CON INTERVENCION PROINVERSIÓN (ANTES COPRI)</t>
  </si>
  <si>
    <t>26.09.02</t>
  </si>
  <si>
    <t>Inmuebles ubicados en Barranco, Surco, Panamericana (SBN)</t>
  </si>
  <si>
    <t>a19</t>
  </si>
  <si>
    <t>Incluye venta de inventarios de repuestos, materiales y otros activos de US$17 MM.</t>
  </si>
  <si>
    <t>02.12.02</t>
  </si>
  <si>
    <t>b2</t>
  </si>
  <si>
    <t>12.02.03</t>
  </si>
  <si>
    <t>Textil Piura</t>
  </si>
  <si>
    <t>23.04.03</t>
  </si>
  <si>
    <t>3 Prospectos Mineros</t>
  </si>
  <si>
    <t>06.05.03</t>
  </si>
  <si>
    <t>07.05.03</t>
  </si>
  <si>
    <t>25.06.03</t>
  </si>
  <si>
    <t>27.06.03</t>
  </si>
  <si>
    <t>Tierras eriazas en Nazca</t>
  </si>
  <si>
    <t>Tierras eriazas en Arequipa</t>
  </si>
  <si>
    <t>Tierras eriazas en La Libertad</t>
  </si>
  <si>
    <t>14.09.06</t>
  </si>
  <si>
    <t>27.09.06</t>
  </si>
  <si>
    <t>Consorcio Transmantaro S.A.</t>
  </si>
  <si>
    <t>Complejo Turístico El Chaco – La Puntilla - Lote A</t>
  </si>
  <si>
    <t>20.07.07</t>
  </si>
  <si>
    <t>26.07.07</t>
  </si>
  <si>
    <t>24.08.07</t>
  </si>
  <si>
    <t>27.08.07</t>
  </si>
  <si>
    <t>Cemento Andino</t>
  </si>
  <si>
    <t>29.08.07</t>
  </si>
  <si>
    <t>Empresa Eléctrica de Piura</t>
  </si>
  <si>
    <t>26.06.03</t>
  </si>
  <si>
    <t>26.04.08</t>
  </si>
  <si>
    <t>El Contrato de Opción de Transferencia se firmó el 14 de mayo de 2003 y el 26 de agosto de 2004 se firmó un addendum</t>
  </si>
  <si>
    <t>04.08.08</t>
  </si>
  <si>
    <t>b7</t>
  </si>
  <si>
    <t>12.08.08</t>
  </si>
  <si>
    <t>14 Inmuebles (SBN y Electroperú)</t>
  </si>
  <si>
    <t>Empresa Agraria Azucarera Andahuasi S.A.A</t>
  </si>
  <si>
    <t>20.01.05</t>
  </si>
  <si>
    <t>21.01.05</t>
  </si>
  <si>
    <t>Red Eléctrica del Sur S.A. - REDESUR</t>
  </si>
  <si>
    <t>15.03.05</t>
  </si>
  <si>
    <t>Empresa de la Sal S.A. - EMSAL</t>
  </si>
  <si>
    <t>28.03.05</t>
  </si>
  <si>
    <t>30.03.05</t>
  </si>
  <si>
    <t>1993-2005</t>
  </si>
  <si>
    <t>TOTAL 2005</t>
  </si>
  <si>
    <t xml:space="preserve">TOTAL OPCION DE TRANSFERENCIA - NO EJERCIDAS  </t>
  </si>
  <si>
    <t xml:space="preserve">TOTAL TRANSACCIONES      </t>
  </si>
  <si>
    <t xml:space="preserve">TOTAL CONCESIONES (B1 + B2)   </t>
  </si>
  <si>
    <t xml:space="preserve">TOTAL     </t>
  </si>
  <si>
    <t>TOTAL 1998            *</t>
  </si>
  <si>
    <t>Ene-Oct 03</t>
  </si>
  <si>
    <t>Positiva Cía. de Seguros</t>
  </si>
  <si>
    <t>22.01.04</t>
  </si>
  <si>
    <t>06.02.04</t>
  </si>
  <si>
    <t>03.02.04</t>
  </si>
  <si>
    <t>Refinería La Pampilla - Acciones Remanentes</t>
  </si>
  <si>
    <t>31.03.04</t>
  </si>
  <si>
    <t>23.03.04</t>
  </si>
  <si>
    <t>31.03.09</t>
  </si>
  <si>
    <t>Concesión Terminal Portuario de Paita</t>
  </si>
  <si>
    <t>Puertos</t>
  </si>
  <si>
    <t>29.10.10</t>
  </si>
  <si>
    <t xml:space="preserve">Corresponde al pago por la transferencia del 100% de acciones.   Adicionalmente, se efectuará el pago de US$184 M trimestrales como contraprestación </t>
  </si>
  <si>
    <t>US$ 1.00 MM por concepto de Primer Aporte Social</t>
  </si>
  <si>
    <t>US$ 15.40 MM por concepto de Aportes Periódicos.</t>
  </si>
  <si>
    <t>TOTAL 2003  **</t>
  </si>
  <si>
    <t xml:space="preserve">El concesionario invertirá invertir recursos suficientes para la culminación de la obra (aproximadamente US$ 108 MM), así como para operar y mantener el sistema. </t>
  </si>
  <si>
    <t>Se ajustó la inversión registrada toda vez que el avance registrado a esa fecha fue de aprox. 80% de la inversión total estimada en el proyecto, quedando una inversión por realizar para el 2004 y 2005 de US$ 54.94 MM.</t>
  </si>
  <si>
    <t>La inversión total ascendente a US$ 184.8 MM propuesta por el concesionario, considera mayores precios de acero y cemento, costos de obras de adecuación del Oleoducto Nor Peruano, entre otros rubros, lo que que implican un incremento adicional al presupuesto original de inversiones registrado.</t>
  </si>
  <si>
    <t>17.05.04</t>
  </si>
  <si>
    <t>a20</t>
  </si>
  <si>
    <t xml:space="preserve">El Gobierno Nacional asumirá el reembolso del financiamiento por US$ 77 MM y sus intereses. </t>
  </si>
  <si>
    <t>Mar-Ago 04</t>
  </si>
  <si>
    <t>TOTAL 2004  ***</t>
  </si>
  <si>
    <t>31.08.04</t>
  </si>
  <si>
    <t>a23</t>
  </si>
  <si>
    <t>El Consorcio se adjudicó la Buena Pro de la concesión del Muelle Sur, al ofrecer la tarifa de US$ 90 por contenedores de 20 pies y US$ 135.18 por contenedores de 40 pies.   Asimismo, realizará una inversión total de US$ 617 MM.</t>
  </si>
  <si>
    <t>Agroindustrias San Jacinto S.A.A. - Acciones</t>
  </si>
  <si>
    <t>TOTAL 2008</t>
  </si>
  <si>
    <t>30.04.07</t>
  </si>
  <si>
    <t>Mineria</t>
  </si>
  <si>
    <t>Proyecto Minero Michiquillay</t>
  </si>
  <si>
    <t>5 Inmuebles (ETECEN, Ministerio de Defensa SBN, F.A.)</t>
  </si>
  <si>
    <t>gracia</t>
  </si>
  <si>
    <t>Ene - Dic. 07</t>
  </si>
  <si>
    <t>Los pagos por concepto del IGV ascienden a: US$ 9.05 Derecho por Contrato y US$ 18.99 MM Derecho de Usufructo.</t>
  </si>
  <si>
    <t>Se ejerció la opción de transferencia.   El importe de transacción incluye el pago por el periodo de opción.</t>
  </si>
  <si>
    <t>Tintaya: Inver. comprometida US$ 85MM y no comp. US$ 19MM (Contrato de Estabilidad MEM)</t>
  </si>
  <si>
    <t xml:space="preserve">(c4) </t>
  </si>
  <si>
    <t>Cajamarquillla: Inver. comprometida US$ 20MM y no comp.US$ 30MM (Contrato de Estabilidad MEM)</t>
  </si>
  <si>
    <t>Monto total luego del ajuste de precio debido a la auditoría de cierre.</t>
  </si>
  <si>
    <t>Venta mediante el programa de Participación Ciudadana: 1ra. campaña  en Nov. 94,  2da. campaña en Dic.94 y 3ra. campaña en Jun 95.</t>
  </si>
  <si>
    <t>Empresa Siderúgica del Perú S.A.A. - SIDERPERÚ</t>
  </si>
  <si>
    <t>28.06.06</t>
  </si>
  <si>
    <t>12.04.06</t>
  </si>
  <si>
    <t>19.06.06</t>
  </si>
  <si>
    <t>En Jun 95 se vendieron 2  paradores turísticos al contado.</t>
  </si>
  <si>
    <t xml:space="preserve"> Incluye US$ 55M por terrenos transferidos a Fondepes.</t>
  </si>
  <si>
    <t>Incluye US$ 60MM en títulos de deuda externa, US$ 32MM x saldo de acciones.  Incluye emp. filiales Financiera San Pedro, Contidata y Almaconti.</t>
  </si>
  <si>
    <t>Venta con intervención de Participación Ciudadana.</t>
  </si>
  <si>
    <t>28.12.07</t>
  </si>
  <si>
    <t>Servicios Públicos de Telecomunicaciones en la Banda 900 MHZ.</t>
  </si>
  <si>
    <t>Sujetos al Programa de Promoción Empresarial.</t>
  </si>
  <si>
    <t>07.11.00</t>
  </si>
  <si>
    <t>Planta Lechera de Iquitos</t>
  </si>
  <si>
    <t>15.11.00</t>
  </si>
  <si>
    <t>a16</t>
  </si>
  <si>
    <t>El consorcio ofertó una retribución de 46.511% y una inversión de US$1,214 MM a ser realizadas durante los 30 años de la concesión.</t>
  </si>
  <si>
    <t>Se estima que el Estado percibirá ingresos de US$5,328 MM en términos corrientes durante dicho periodo.</t>
  </si>
  <si>
    <t>Involucra la venta del 60% de acciones del Estado, el 40% restante será ofrecido a través del mecanismo de Partic.Ciudadana.</t>
  </si>
  <si>
    <t>Incluye : al contadoUS$ 1.0MM, Diferido US$ 1.6MM.</t>
  </si>
  <si>
    <t>Venta del 60% de acciones. De los US$180.5MM ofrecidos, US$142.5 pago en efectivo y  US$38MM de papeles de deuda.</t>
  </si>
  <si>
    <t>Compromisos de inversión de por lo menos US$50.0MM en los próximos 5 años.</t>
  </si>
  <si>
    <t>Venta del 60% de acciones. Compromiso de inversión: instalar una planta de 100 MW en el plazo de 3 años.</t>
  </si>
  <si>
    <t>Venta del 100% de acciones.</t>
  </si>
  <si>
    <t>07.11.08</t>
  </si>
  <si>
    <t>Programa Costa – Sierra: Ovalo Chancay – Desvío Variante Pasamayo - Huaral – Acos</t>
  </si>
  <si>
    <t xml:space="preserve"> Internacional 447´925,000 acc.a US$ 2.02 c/a. Institucional Local 19´930,095 acc.a S/5.02 c/a. Minorista Local 151´464,305 acc.a S/4.51c/a.</t>
  </si>
  <si>
    <t>Complejo Agroindustrial Cartavio S.A.A.</t>
  </si>
  <si>
    <t>15.09.10</t>
  </si>
  <si>
    <t>Majes - Siguas II</t>
  </si>
  <si>
    <t>22.07.10</t>
  </si>
  <si>
    <t>Los Portales de Breña (Consorcio Mantenimiento y Operaciones del Perú).</t>
  </si>
  <si>
    <t xml:space="preserve">El monto de inversión para la construcción es de US $ 150 000 000 y la empresa Luz del Sur,  ofreció otorgar el 15% de la energía producida a la Empresa de Generación Eléctrica Machu Picchu. </t>
  </si>
  <si>
    <t>Empresa Agrícola San Juan S.A.</t>
  </si>
  <si>
    <t>Empresa Agroindustrial Casa Grande S.A.A.</t>
  </si>
  <si>
    <t>16.01.06</t>
  </si>
  <si>
    <t>25.01.06</t>
  </si>
  <si>
    <t>Venta mediante Promoción Empresarial: 40% al contado, el saldo en cuotas trimestrales en 3.5 años, interés Libor+2%.</t>
  </si>
  <si>
    <t>Luz del Sur : 1,171 trabajadores, 52,953,791 acciones. Edegel : 648 trabajadores, 61,129,728 acciones.</t>
  </si>
  <si>
    <t>20.12.10</t>
  </si>
  <si>
    <t>Venta acciones de empresa Inmobiliaria Milenia S.A. – INMISA</t>
  </si>
  <si>
    <t>Mercado de Capitales</t>
  </si>
  <si>
    <t xml:space="preserve">Venta del 100% de acciones. </t>
  </si>
  <si>
    <t>Línea de Transmisión Eléctrica Chilca - La Planicie - Zapallal</t>
  </si>
  <si>
    <t>17.06.08</t>
  </si>
  <si>
    <t>Venta mediante Promoción Empresarial: 20% al contado, el saldo en 8 años.  Incluye también venta de inventarios por US$ 137.69 M</t>
  </si>
  <si>
    <t>Etevensa:  8,255,880 acciones,  Cahua:  9,479,358 acciones,    Egenor:  68,384,484 acciones.</t>
  </si>
  <si>
    <t>12.02.09</t>
  </si>
  <si>
    <t>Tercer Tramo: 389'168,526 acciones (equivalentes a 17.48% del capital social)  por S/. 291.88 MM.</t>
  </si>
  <si>
    <t>Concesión del Proyecto Chillón por 27 años, implica una inversión aproximada de US$80 Millones en los dos primeros años.</t>
  </si>
  <si>
    <t>Concesión para la explotación de hidrocarburos de Camisea.   El consorcio ofertó 37.24% de regalías, se estima una inversión de US$1,600MM.</t>
  </si>
  <si>
    <t xml:space="preserve">Venta mediante Promoción Empresarial: 30% al contado, el saldo en cuotas trimestrales en 4 años, interés libor + 2%. </t>
  </si>
  <si>
    <t>Transferencia de los derechos mineros de Perro Ciego y La Carcajada por S$ 1.05 MM.</t>
  </si>
  <si>
    <t>Venta mediante Promoción Empresarial: 20% al contado, el saldo en 8 años, interés tasa Libor + 2%.   Compromiso de Inversión en 5 años.</t>
  </si>
  <si>
    <t xml:space="preserve">Venta mediante Promoción Empresarial: 20% al contado, el saldo en 4 años, interés tasa Libor + 2%. </t>
  </si>
  <si>
    <t xml:space="preserve">Venta mediante Promoción Empresarial: 25% al contado, el saldo en 6 años, interés tasa Libor + 2%.  </t>
  </si>
  <si>
    <t>Venta mediante Promoción Empresarial: 20% al contado, el saldo en 8 años, interés tasa Libor + 2%.</t>
  </si>
  <si>
    <t>a1</t>
  </si>
  <si>
    <t>Concesión por 6 años.  Durante el plazo de la concesión, Corpac recibirá el 65% de los ingresos brutos.</t>
  </si>
  <si>
    <t>a2</t>
  </si>
  <si>
    <t>Concesión por 6 años.  Corpac recibirá el 30.79% de los ingresos brutos por venta durante el plazo de la concesión.</t>
  </si>
  <si>
    <t>a3</t>
  </si>
  <si>
    <t>a5</t>
  </si>
  <si>
    <t>Cesión de los lotes 8/8X por US$142.2MM de los cuales US$25.0MM son pagaderos en papeles de deuda.</t>
  </si>
  <si>
    <t>Compromiso de inversión de US$25.0MM en los próximos 5 años.</t>
  </si>
  <si>
    <t>d1</t>
  </si>
  <si>
    <t>TOTAL 2000</t>
  </si>
  <si>
    <t>27.01.00</t>
  </si>
  <si>
    <t>07.03.00</t>
  </si>
  <si>
    <t>Cahua y Pariac - Remanente acciones</t>
  </si>
  <si>
    <t>11.01.00</t>
  </si>
  <si>
    <t>Saneamiento</t>
  </si>
  <si>
    <t>16.02.00</t>
  </si>
  <si>
    <t>a10</t>
  </si>
  <si>
    <t>a11</t>
  </si>
  <si>
    <t>26.02.08</t>
  </si>
  <si>
    <t>Proceso Impugnado; el 17 de julio de 2007 el Comité de PROINVERSIÓN declaro la Nulidad del mismo retrotrayendo el proceso a la etapa de Precalificación.</t>
  </si>
  <si>
    <t>a24</t>
  </si>
  <si>
    <t>Línea de Transmisión Eléctrica Carhuamayo – Paragsha – Conococha – Huallanca – Cajamarca – Cerro Corona – Carhuaquero</t>
  </si>
  <si>
    <t>d2</t>
  </si>
  <si>
    <t xml:space="preserve">Involucra la venta del 60% de acciones del Estado bajo un esquema de capitalización por inversión de US$120MM.. </t>
  </si>
  <si>
    <t>El postor ganador ofreció el mayor monto de inversión a ser capitalizada y exigió menor número de acciones por esa inversión.</t>
  </si>
  <si>
    <t>d3</t>
  </si>
  <si>
    <t>24.10.08</t>
  </si>
  <si>
    <t>Abastecimiento de Agua Potable para Lima (Huascacocha - Rímac)</t>
  </si>
  <si>
    <t>TOTAL</t>
  </si>
  <si>
    <t>a9</t>
  </si>
  <si>
    <t>Venta mediante Promoción Empresarial: 50% al contado, el saldo en 4 años, interés tasa Libor + 2%.</t>
  </si>
  <si>
    <t>30.05.97</t>
  </si>
  <si>
    <t>20.10.00</t>
  </si>
  <si>
    <t>a15</t>
  </si>
  <si>
    <t>07.05.97</t>
  </si>
  <si>
    <t>18.07.97</t>
  </si>
  <si>
    <t>Venta del 100% de acciones por US$ 127.78 MM.  Compromiso de inversión de US$ 60 MM en 5 años.</t>
  </si>
  <si>
    <t>10.07.97</t>
  </si>
  <si>
    <t>10.11.99</t>
  </si>
  <si>
    <t>09.12.99</t>
  </si>
  <si>
    <t>Fundo Tournavista</t>
  </si>
  <si>
    <t>d4</t>
  </si>
  <si>
    <t>04.08.97</t>
  </si>
  <si>
    <t>07.08.97</t>
  </si>
  <si>
    <t>ENATA - Inmuebles</t>
  </si>
  <si>
    <t>11.09.97</t>
  </si>
  <si>
    <t>Ampollas Farmacéuticas AMFA - Activos</t>
  </si>
  <si>
    <t>a14</t>
  </si>
  <si>
    <t>Concesión de una banda del Servicio Telefonía Fija Local y Servicio Portador Local a la empresa Millicom, con un pago de US$9.85 MM.</t>
  </si>
  <si>
    <t>Concesión de una banda del Servicio Telefonía Fija Local y Servicio Portador Local a la empresa Telefónica del Perú, con un pago de US$9.70 MM.</t>
  </si>
  <si>
    <t>Adquisición de 1,234.4353 hectáreas de Tierras Eriazas del Proyecto Especial Jequetepeque – Zaña</t>
  </si>
  <si>
    <t>Transferencia de Electrica de Piura, bajo la modalidad de capitalización por US$ 40 MM y venta de acciones por US$ 19.67 MM.</t>
  </si>
  <si>
    <t>Transferencia de Metaloroya, bajo la modalidad de capitalización por US$ 126 MM y venta de acciones por US$ 121 MM.</t>
  </si>
  <si>
    <t>17.10.97</t>
  </si>
  <si>
    <t>13 - 20.08.97</t>
  </si>
  <si>
    <t>31.10.97</t>
  </si>
  <si>
    <t xml:space="preserve">Talleres de Moyopampa S.A. </t>
  </si>
  <si>
    <t>14.11.97</t>
  </si>
  <si>
    <t>06.11.97</t>
  </si>
  <si>
    <t>27.10.97</t>
  </si>
  <si>
    <t>15.12.97</t>
  </si>
  <si>
    <t>SPL - Almacén de Productos Terminados APT</t>
  </si>
  <si>
    <t>19.12.97</t>
  </si>
  <si>
    <t>a6</t>
  </si>
  <si>
    <t>30.12.97</t>
  </si>
  <si>
    <t>29.11.97</t>
  </si>
  <si>
    <t xml:space="preserve">Monto luego del ajuste de precio por la auditoría de cierre. </t>
  </si>
  <si>
    <t>Pesca Perú Ilo Sur S.A.</t>
  </si>
  <si>
    <t>07.02.07</t>
  </si>
  <si>
    <t xml:space="preserve"> Venta mediante Promoción Empresarial:40% de cuota inicial, saldo en 5.5 años con 6 meses de gracia, Libor+2%.Inversión en 3 años.</t>
  </si>
  <si>
    <t>Ganadería</t>
  </si>
  <si>
    <t>23.11.99</t>
  </si>
  <si>
    <t>Primer Tramo: 150'000,000 acciones (equivalentes aprox. al 7% del capital social)  por S/. 103.5 MM.</t>
  </si>
  <si>
    <t xml:space="preserve">Mega Proyecto de Techo Propio, Mi Hogar y Mivivienda "Ciudad Sol de Collique" </t>
  </si>
  <si>
    <t>Inmuebles</t>
  </si>
  <si>
    <t>Segundo Tramo: 120'000,000 acciones (equivalentes a 5.39% del capital social)  por S/. 84.0 MM.</t>
  </si>
  <si>
    <t>26.11.99</t>
  </si>
  <si>
    <t>20.01.98</t>
  </si>
  <si>
    <t>06.02.98</t>
  </si>
  <si>
    <t>Planta de Cemento Rioja</t>
  </si>
  <si>
    <t>22.07.94</t>
  </si>
  <si>
    <t>Agroindustria</t>
  </si>
  <si>
    <t>b4</t>
  </si>
  <si>
    <t>Correspondiente al pago por el primer y segundo año de la concesión.</t>
  </si>
  <si>
    <t>20.06.00</t>
  </si>
  <si>
    <t>a12</t>
  </si>
  <si>
    <t>a13</t>
  </si>
  <si>
    <t>Tierras Eriazas  (384.20 has)</t>
  </si>
  <si>
    <t xml:space="preserve">Refinería La Pampilla - Venta a Trabajadores   </t>
  </si>
  <si>
    <t>21.07.95</t>
  </si>
  <si>
    <t>20.01.10</t>
  </si>
  <si>
    <t>Corresponde al pago por derecho de vigencia y compromiso de inversión por el periodo de permanencia en el yacimiento.</t>
  </si>
  <si>
    <t>04.03.98</t>
  </si>
  <si>
    <t>30.03.98</t>
  </si>
  <si>
    <t>Pesca Perú Ilo Norte S.A.</t>
  </si>
  <si>
    <t>06.04.98</t>
  </si>
  <si>
    <t>28.04.98</t>
  </si>
  <si>
    <t>07.10.99</t>
  </si>
  <si>
    <t xml:space="preserve">Acc.Egenor - Remanente acciones  </t>
  </si>
  <si>
    <t>Tierras P.E. Jequetepeque-Zaña (5,764 has)</t>
  </si>
  <si>
    <t>Tierras P.E. Chira - Piura (118 has)</t>
  </si>
  <si>
    <t xml:space="preserve">D. CAPITALIZACIONES      </t>
  </si>
  <si>
    <t>C. OPCION DE TRANSFERENCIA</t>
  </si>
  <si>
    <t xml:space="preserve">C.1.  VIGENTES   </t>
  </si>
  <si>
    <t xml:space="preserve">C.2.  NO EJERCIDAS </t>
  </si>
  <si>
    <t>02.07.98</t>
  </si>
  <si>
    <t>10.07.98</t>
  </si>
  <si>
    <t>Empresa Minera Cobriza S.A.</t>
  </si>
  <si>
    <t>15.07.98</t>
  </si>
  <si>
    <t xml:space="preserve"> Internacional 29'344,119 acc.a US$ 0.585 c/a. Institucional Local 29'344,119 acc.a S/1.70 c/a. Minorista Local 58'688,237 acc.a S/1.615 c/a.</t>
  </si>
  <si>
    <t xml:space="preserve">B. CONCESIONES </t>
  </si>
  <si>
    <t>B.1.   CON INTERVENCIÓN DE PROMCEPRI</t>
  </si>
  <si>
    <t>15.01.98</t>
  </si>
  <si>
    <t>07.05.98</t>
  </si>
  <si>
    <t>Línea de Transmisión Eléctrica Mantaro Socabaya</t>
  </si>
  <si>
    <t>Banda B de Telefonía Celular fuera de Lima</t>
  </si>
  <si>
    <t>07.08.98</t>
  </si>
  <si>
    <t>Minero Perú - Concesiones de INIFOM</t>
  </si>
  <si>
    <t>EMPRESA / PROYECTO</t>
  </si>
  <si>
    <t>26.08.98</t>
  </si>
  <si>
    <t>01.09.98</t>
  </si>
  <si>
    <t>Tierras P.E.Pastogrande - Pampa del Palo (94.52 has))</t>
  </si>
  <si>
    <t xml:space="preserve">Tierras P.E. Chavimochic - Etapa II, saldo Etapa I (1,952.99 has)  </t>
  </si>
  <si>
    <t>Tierras P.E.Majes - Siguas  (897 has)</t>
  </si>
  <si>
    <t>Transferencia de derechos mineros por US$20MM y una inversión comprometida de US$2,520 MM.</t>
  </si>
  <si>
    <t>28.10.98</t>
  </si>
  <si>
    <t>05.11.98</t>
  </si>
  <si>
    <t>27.07.07</t>
  </si>
  <si>
    <t>Servicio de Comunicaciones Personales Bandas D y E</t>
  </si>
  <si>
    <t>Servicio Público Mobil en la Banda B</t>
  </si>
  <si>
    <t>Tierras P.E.Jequetepeque - Zaña  (5.1 has)</t>
  </si>
  <si>
    <t>25.11.98</t>
  </si>
  <si>
    <t>26.11.98</t>
  </si>
  <si>
    <t>02.12.98</t>
  </si>
  <si>
    <t>04.12.98</t>
  </si>
  <si>
    <t>Corresponde a la venta del 30% de acciones.</t>
  </si>
  <si>
    <t>10.12.98</t>
  </si>
  <si>
    <t>02.02.99</t>
  </si>
  <si>
    <t xml:space="preserve">Acc.Luz del Sur.  - Remanente acciones </t>
  </si>
  <si>
    <t>29.01.99</t>
  </si>
  <si>
    <t>a7</t>
  </si>
  <si>
    <t>30.03.99</t>
  </si>
  <si>
    <t>29.04.99</t>
  </si>
  <si>
    <t>31.05.99</t>
  </si>
  <si>
    <t xml:space="preserve">Emp.Minera Paragsha S.A. (Cerro de Pasco)  </t>
  </si>
  <si>
    <t>a8</t>
  </si>
  <si>
    <t>28.05.99</t>
  </si>
  <si>
    <t>15.06.99</t>
  </si>
  <si>
    <t>Planta Lechera de Tacna S.A.</t>
  </si>
  <si>
    <t>08.07.99</t>
  </si>
  <si>
    <t>21.05.99</t>
  </si>
  <si>
    <t>31.08.99</t>
  </si>
  <si>
    <t>18.08.99</t>
  </si>
  <si>
    <t>b1</t>
  </si>
  <si>
    <t>Cementos Norte Pacasmayo - Acciones remanentes</t>
  </si>
  <si>
    <t>21.07.99</t>
  </si>
  <si>
    <t>Telefónica - Remanente acciones</t>
  </si>
  <si>
    <t>12.08.99</t>
  </si>
  <si>
    <t>Tierras P.E. Chavimochic (1,092 has)</t>
  </si>
  <si>
    <t>22.07.99</t>
  </si>
  <si>
    <t>Tierras P.E. Chinecas (3,143  has)</t>
  </si>
  <si>
    <t>Inmuebles del Estado</t>
  </si>
  <si>
    <t>02.07.05</t>
  </si>
  <si>
    <t>07.09.10</t>
  </si>
  <si>
    <t>Segundo Grupo de Aeropuertos Regionales</t>
  </si>
  <si>
    <t>a26</t>
  </si>
  <si>
    <t xml:space="preserve">El monto de la transacción corresponde al subsidio del Estado solicitado por la empresa adjudicataria </t>
  </si>
  <si>
    <t>05.08.10</t>
  </si>
  <si>
    <t>Terminal de Embarque de Concentrado de Minerales del TP Callao</t>
  </si>
  <si>
    <t xml:space="preserve">Servicio de Comunicaciones Personales-PCS (Banda C) </t>
  </si>
  <si>
    <t>Complejo Turístico El Chaco – La Puntilla - Lote C</t>
  </si>
  <si>
    <t>25.04.08</t>
  </si>
  <si>
    <t>Gasoducto Regional de Ica</t>
  </si>
  <si>
    <t>29.04.08</t>
  </si>
  <si>
    <t>Línea de Transmisión Eléctrica Mantaro - Caravelí - Montalvo y Machu Picchu Cotaruse</t>
  </si>
  <si>
    <t>19.06.09</t>
  </si>
  <si>
    <t>Concesión Autopista del Sol Tramo Trujillo-Sullana</t>
  </si>
  <si>
    <t>Instalación de 100 has de uva de mesa, 30 has de espárragos y 5 has de algarrobos</t>
  </si>
  <si>
    <t>Desarrollo Agroexportador en tierras eriazas de Supe</t>
  </si>
  <si>
    <t>Ene - Dic 05</t>
  </si>
  <si>
    <t>Empresa Agraria El Ingenio</t>
  </si>
  <si>
    <t>16.12.05</t>
  </si>
  <si>
    <t>Proyecto Cuprífero La Granja</t>
  </si>
  <si>
    <t>Al tipo de cambio bancario del 28.10.08. T.C.= 3.104 Fuente: BCRP</t>
  </si>
  <si>
    <t>Ene - 4/Dic - 18</t>
  </si>
  <si>
    <t>Tierras P.E.Chavimochic  (1,961 has)</t>
  </si>
  <si>
    <t>Tierras P.E. Chavimochic (198 has)</t>
  </si>
  <si>
    <t>Correspondiente al pago inicial de US$9.68 MM más los ingresos esperados por concepto del canon de 5% mensual sólo por los cinco primeros</t>
  </si>
  <si>
    <t>TOTAL 2006</t>
  </si>
  <si>
    <t>TOTAL 2007</t>
  </si>
  <si>
    <t>Tierras Eriazas  (3,119.03 has)</t>
  </si>
  <si>
    <t>Tierras P.E.Pasto Grande  (828 has)</t>
  </si>
  <si>
    <t>Tierras P.E.Chavimochic  (259.96 has)</t>
  </si>
  <si>
    <t>18.03.99</t>
  </si>
  <si>
    <t>Tierras P.E.Chira - Piura  (15.83 has)</t>
  </si>
  <si>
    <t>FECHA</t>
  </si>
  <si>
    <t>SECTOR</t>
  </si>
  <si>
    <t>Hidrocarburos</t>
  </si>
  <si>
    <t>Pesquería</t>
  </si>
  <si>
    <t>Industria</t>
  </si>
  <si>
    <t>Minería</t>
  </si>
  <si>
    <t>Electricidad</t>
  </si>
  <si>
    <t>Transportes</t>
  </si>
  <si>
    <t>A.VENTA ACCIONES Y/O ACTIVOS</t>
  </si>
  <si>
    <t>10.06.91</t>
  </si>
  <si>
    <t>01.07.05</t>
  </si>
  <si>
    <t>04.07.05</t>
  </si>
  <si>
    <t>TOTAL INICIATIVAS PRIVADAS ADJUDICADAS DIRECTAMENTE</t>
  </si>
  <si>
    <t>Negociación Agrícola Vista Alegre S.A. - NAVASA</t>
  </si>
  <si>
    <t>20.07.05</t>
  </si>
  <si>
    <t>22.07.05</t>
  </si>
  <si>
    <t>a21</t>
  </si>
  <si>
    <t>Se vendieron 19.0001% de las acciones mediante subasta holandesa y 10% de las mismas a los accionistas mayoritarios en uso de su derecho de preferencia.</t>
  </si>
  <si>
    <t>10.08.09</t>
  </si>
  <si>
    <t>06.08.09</t>
  </si>
  <si>
    <t>Venta en soles.  37.11% de las acciones adquiridas serán financiadas mediante pagos mensuales durante cinco años, con una tasa de 10% en soles.</t>
  </si>
  <si>
    <t>Entel CPT: Inversión comprometida US$ 1,200MM y no comprometida US$ 976MM. De los US$1,200MM comprometidos la empresa ha capitalizado US$ 610MM de acuerdo a condiciones de venta original (Ver Nota d1)</t>
  </si>
  <si>
    <t>Leasing a 20 años (US$ 10MM anuales).  Petroperú recibirá en promedio el 21.13% del petróleo y gas producido durante la concesión (30 años).</t>
  </si>
  <si>
    <t>En febrero de 1999 se pagó por adelantado el íntegro del saldo de capital para cuya amortización podría haber utilizado 20 semestres más, los que culminaban en febrero del año 2009.</t>
  </si>
  <si>
    <t>El monto de transacción registrado incluye US$40.2 MM pagados al contado a la firma del contrato, US$73.6 MM pagados por concepto de la parte diferida, US$40MM de valor nominal de títulos de deuda externa, US$0.8 MM por venta a trabajadores.</t>
  </si>
  <si>
    <t>El monto de venta incluye US$ 55MM de valor nominal de títulos de deuda externa.   Incluye el ajuste de precio a favor de Minero Perú por la auditoría de cierre.  También incluye honorario por éxito pagado en exceso.  Acta de acuerdo final suscrito por el Banco de Inversión, Banque Paribas.</t>
  </si>
  <si>
    <t>Incluye venta a Química del Pacífica por US$ 13.95 MM a ser pagado en 5 años con uno de gracia (30% de inicial y cuotas semestrales calculadas a Libor + 2%) y venta a trabajadores por S/. 867 M;    quedando un saldo de 147,875 acc. en reserva.</t>
  </si>
  <si>
    <t>En. 95: se vendieron 17 hoteles, en Mar.95 otros 14 hoteles.</t>
  </si>
  <si>
    <t>La mayoría de ellos serán pagados en cinco años, incluye un año de gracia: 30% de cuota inicial y cuotas semestrales a una tasa de Libor + 2%.  Los compromisos de inversión se llevarán a cabo en los siguientes 3 años.</t>
  </si>
  <si>
    <t>Venta de 4 unidades operativas: (i) Terminal Pesquero del Callao, (ii) Frigorífico de Huaraz, (iii) Mercado Mayorista y Frigorífico de Villa María, y (iv) Mercado Mayorista de Santa Rosa.  Las 3 primeras unidades han sido vendidas mediante Promoción Empresarial.</t>
  </si>
  <si>
    <t>TOTAL 2010</t>
  </si>
  <si>
    <t>08.07.10</t>
  </si>
  <si>
    <t>Línea de Transmisión Tintaya-Socabaya en 220 Kv y subestaciones asociadas</t>
  </si>
  <si>
    <t>Línea de transmisión 220 Kv entre Talara y Piura</t>
  </si>
  <si>
    <t>13.07.10</t>
  </si>
  <si>
    <t>Eje del Amazonas Centro de IIRSA: Tramo 2 del Eje Multimodal</t>
  </si>
  <si>
    <t>27.07.10</t>
  </si>
  <si>
    <t>a25</t>
  </si>
  <si>
    <t>e2</t>
  </si>
  <si>
    <t>Al tipo de cambio bancario del 23.07.10. T.C.= 2.82 Fuente: BCRP</t>
  </si>
  <si>
    <t>Venta mediante Promoción Empresarial: 20% de cuota inicial y el saldo pagadero en cuotas semestrales durante 8 años, incluyendo 6 meses de gracia, a Libor + 2%.</t>
  </si>
  <si>
    <t>Telecomunicaciones</t>
  </si>
  <si>
    <t>Venta mediante Promoción Empresarial: 30% de cuota inicial y el saldo pagadero en cuotas semestrales durante 5 años y medio incluyendo 6 meses de gracia a Libor + 2%</t>
  </si>
  <si>
    <t>Involucra venta del 60% de participación estatal, el 40% restante será vendido posteriormente en el mercado nacional (Partic.Ciudadana) e Internacional (Oferta Pública).</t>
  </si>
  <si>
    <t>Venta del 100% de acciones, bajo el Programa de Promoción Empresarial, 40% de cuota inicial y el saldo en cuotas semestrales en 5 años, a una tasa Libor +2%.</t>
  </si>
  <si>
    <t>Internacional 19,999,995 acc. a US$ 1.20 c/a.  Institucional Local 34,906,433 acc. a S/. 3.10.  Minorista Local 89,037,459 acciones a S/. 2.79 c/a (a plazos) y S/. 2.94 c/a (al contado).</t>
  </si>
  <si>
    <t>Pago por 3 años del derecho de vigencia.   Inversión comprometida de US$ 25MM.    Ejercieron afirmativamente la opción de compra debiendo pagar regalías al Estado.</t>
  </si>
  <si>
    <t>Venta de 56 lotes, 22 de los cuales se acogieron al Programa de Promoción Empresarial.  La realización de los compromisos de inversión fluctúa entre los dos y tres años.</t>
  </si>
  <si>
    <t>Corresponde a la venta de los activos del Complejo Agroindustrial de Chao por US$2.92 MM (sin IGV) conformado por la planta industrial y el área agrícola de 1,446 hectáreas netas.</t>
  </si>
  <si>
    <t>25.11.10</t>
  </si>
  <si>
    <t>Reserva Fría de generación  800 MW (2 x 200 + 1 x 400)</t>
  </si>
  <si>
    <t>Corresponde al pago por la transferencia del 100% de acciones.   Adicionalmente, se efectuará el pago de US$221.5 M trimestrales como contraprestación por el derecho de usufructo y superficie por un período de 30 años sobre el terreno, edificaciones e instalaciones fijas del Almacén.</t>
  </si>
  <si>
    <t>Inversión estimada para que se habilite la planta existente para el  uso del  gas natural operando en ciclo simple en una primara etapa, y posteriormente, en una segunda etapa , en ciclo combinado.</t>
  </si>
  <si>
    <t>Corresponde al 100% de las acciones de la empresa.  Adicionalmente efectuará pagos de US$ 60 M + IGV trimestral para el Fondo de Saneamiento Ambiental de Centromín Perú S.A.</t>
  </si>
  <si>
    <t>Corresponde a la oferta presentada por Derecho por Contrato ascendente a US$53 MM (sin IGV), Derecho de Usufructo de US$ 105.5 MM (sin IGV) y el Aporte Social a ser pagado de acuerdo a las siguientes condiciones:</t>
  </si>
  <si>
    <t>US$ 1.50 MM por concepto de Segundo Aporte Social, monto al que se le añadirá US$ 4.46 que corresponde a la diferencia entre el monto de la oferta económica por Derecho por Contrato y el valor base del Derecho por Contrato.</t>
  </si>
  <si>
    <t xml:space="preserve">Adicionalmente a los US$ 3 MM, la compañía se obliga al pago del 3% de regalías sobre las ventas de cualquier tipo de mineral proveniente de la explotación del área de las concesiones mineras. </t>
  </si>
  <si>
    <t>Asimismo, por la oferta de producir roca fosfórica y ácido fosfórico equivalente a 3'420,600 toneladas métricas anuales, se estima que la obra ascendería en una primera fase de US$ 250 MM a US$300 MM, incluyendo la construcción de infraestructura, servicios, accesos, entre otros y facilidades portuarias para minería, etc.</t>
  </si>
  <si>
    <t>Concesión por 30 años, montos ofrecidos pagados al contado. En el caso de San Antonio Abad se trata de una transferencia de un contrato de concesión que Entur Perú mantenía con el Arsobispado.</t>
  </si>
  <si>
    <t>e1</t>
  </si>
  <si>
    <t>Correspondientes al pago por el Derecho de Suscripción de los Contratos de Operación a 15 años, ascendentes a US$ 3 MM por cada terminal, más los ingresos esperados por concepto de tarifas.</t>
  </si>
  <si>
    <t>Concesión para el diseño, construcción, y operación de las líneas de transmisión en 220 Kv:Socabayo-Moquegua; Moquegua-Tacna y Moquegua-Puno, con una inversión de US$74.48 MM.   El plazo del Contrato de Concesión es de 32 años.</t>
  </si>
  <si>
    <t>años (aprox. S/.800 M anuales).   Cabe señalar que el canon es por el tiempo que dure la concesión, sin embargo para fines de registro, en este reporte sólo se está considerando los cinco primeros años.</t>
  </si>
  <si>
    <t>N°</t>
  </si>
  <si>
    <t>30.04.10</t>
  </si>
  <si>
    <t>Línea de Transmisión 500 kV Chilca-Marcona-Montalvo</t>
  </si>
  <si>
    <t>Linea de Transmisión Zapallal Trujillo 500 kV</t>
  </si>
  <si>
    <t>Concesión del Sistema Ferroviario Estatal por 30 años.  Se estima que los ingresos del Estado por dicha  concesión serán de US$162 MM; asimismo, la inversión ascendería a US$157 MM.    Cabe señalar que estas cifras, que determinan un orden de magnitud consideran solamente un desarrollo conservador del mercado de transporte ferroviario, así como de las inversiones en servicios complementarios, los que podrían ser más importantes a mediano y largo plazo.</t>
  </si>
  <si>
    <t>Concesión para el transporte y distribución de Camisea.  Comprende la inversión a ser realizada durante los 4 primeros años ascendente a US$1,100 MM;  asimismo, el costo de operación ascendería a US$349 MM  (Plazo de concesión:  33 años).</t>
  </si>
  <si>
    <t>De acuerdo al addendum al Contrato de Opción, se incorporporó una cláusula adicional a fin de que el inversionista, abone de manera adelantada  los pagos previstos en caso de ejercer la opción, en las siguientes nuevas condiciones:   i) US$ 1 MM destinados para el Fondo de Fideicomiso Social, el 15 de setiembre de 2004, ii) US$ 1 MM destinados al Fondo de Saneamiento Ambiental de Centromín Perú S.A. a cuenta de regalías, el 15 de setiembre de 2005.   Al haberse suscrito el Contrato de  Transferencia el 26.04.08 la inversión proyectada es de US$ 2,152´269,000 habiendo un compromiso de inversión del 70% (US$ 1,506´588,300), la regalías son el 1.7% de las Ventas Netas durante la vida útil de la Mina, pagaderos semestralmente.</t>
  </si>
  <si>
    <t>Corresponde al pago efectuado por Cambior Inc. por 3 años del derecho de vigencia (1994-1997).   Inversión comprometida de US$ 25MM (por Cambior Inc.) y US$3 MM (por Biliton)</t>
  </si>
  <si>
    <t xml:space="preserve"> América Petrogas de Canada pagó US$ 328,000 por derecho de opción; en caso de ejercer la opción deberá pagar US$ 250,000 como monto fijo  y un pago semestral de US$ 33 por tonelada vendida en la etapa de comercialización del proyecto.</t>
  </si>
  <si>
    <t>Monto correspondiente a la emisión de 57´988,003 acciones de CPT.  Involucra la venta de un paquete de acciones: 35% de Entel (112´605,184), acciones en CPT (46´565,525) y una nueva suscripción en CPT (57´988,003), para alcanzar el 35% del accionariado de la empresa a ser adquirida. Actualmente el Estado mantiene 2% del capital de la nueva empresa fusionada,  luego de ofrecer el 27% mediante Part.Ciudadana y/o Oferta Pública.</t>
  </si>
  <si>
    <t>El consorcio se adjudicó la Buena Pro al ofrecer una retribución de 18.61% de los ingresos por peajes.</t>
  </si>
  <si>
    <t>a22</t>
  </si>
  <si>
    <t>Interconexión Eléctrica ISA PERÚ S.A.</t>
  </si>
  <si>
    <t xml:space="preserve">El consorcio se adjudicó la Buena Pro al ofrecer el menor valor presente neto de los ingresos anuales que espera recibir el concesionario para los cinco primeros años de la concesión, ascendente a S/. 31.4 MM.   </t>
  </si>
  <si>
    <t>Sogewiese Leasing</t>
  </si>
  <si>
    <t>Financiero</t>
  </si>
  <si>
    <t>19.07.91</t>
  </si>
  <si>
    <t>Minas Buenaventura</t>
  </si>
  <si>
    <t xml:space="preserve">TOTAL 1991 </t>
  </si>
  <si>
    <t>26.05.92</t>
  </si>
  <si>
    <t>Minera Condestable</t>
  </si>
  <si>
    <t>05.06.92</t>
  </si>
  <si>
    <t>Banco de Comercio</t>
  </si>
  <si>
    <t>06.12.92</t>
  </si>
  <si>
    <t xml:space="preserve">Grifos de Petroperú </t>
  </si>
  <si>
    <t>23.07.92</t>
  </si>
  <si>
    <t>Industrias Navales</t>
  </si>
  <si>
    <t>Astillero</t>
  </si>
  <si>
    <t>24.07.92</t>
  </si>
  <si>
    <t>Química del Pacífico</t>
  </si>
  <si>
    <t>Químicos</t>
  </si>
  <si>
    <t>07.08.92</t>
  </si>
  <si>
    <t>Buses Enatru</t>
  </si>
  <si>
    <t>Transporte</t>
  </si>
  <si>
    <t>21.08.92</t>
  </si>
  <si>
    <t>Solgas</t>
  </si>
  <si>
    <t>07.09.92</t>
  </si>
  <si>
    <t>Minpeco USA</t>
  </si>
  <si>
    <t>Trading</t>
  </si>
  <si>
    <t>05.11.92</t>
  </si>
  <si>
    <t>Hierro Perú</t>
  </si>
  <si>
    <t>(c)</t>
  </si>
  <si>
    <t>09.12.92</t>
  </si>
  <si>
    <t>Quellaveco</t>
  </si>
  <si>
    <t>TOTAL 1992</t>
  </si>
  <si>
    <t>16.01.93</t>
  </si>
  <si>
    <t>Aeroperú</t>
  </si>
  <si>
    <t>21.01.93</t>
  </si>
  <si>
    <t>Reactivos  Nacionales</t>
  </si>
  <si>
    <t>24.02.93</t>
  </si>
  <si>
    <t>23.07.93</t>
  </si>
  <si>
    <t>Sudamericana de Fibras</t>
  </si>
  <si>
    <t>Textiles</t>
  </si>
  <si>
    <t>22.07.93</t>
  </si>
  <si>
    <t>Ecasa  -  Almacén Santa Anita</t>
  </si>
  <si>
    <t>Comercio</t>
  </si>
  <si>
    <t>17.08.93</t>
  </si>
  <si>
    <t>Ertur  Arequipa</t>
  </si>
  <si>
    <t>26.08.93</t>
  </si>
  <si>
    <t>Eretru Trujillo</t>
  </si>
  <si>
    <t>04.11.93</t>
  </si>
  <si>
    <t>Banco Popular</t>
  </si>
  <si>
    <t>05.11.93</t>
  </si>
  <si>
    <t>Petrolera Transoceánica</t>
  </si>
  <si>
    <t>10.11.93</t>
  </si>
  <si>
    <t>16.11.93</t>
  </si>
  <si>
    <t>Sanmarti - SPL</t>
  </si>
  <si>
    <t>08.12.93</t>
  </si>
  <si>
    <t>Conversión Lima - SPL</t>
  </si>
  <si>
    <t>16.12.93</t>
  </si>
  <si>
    <t>Flopesca</t>
  </si>
  <si>
    <t>Buques/Pesq.</t>
  </si>
  <si>
    <t>TOTAL 1993</t>
  </si>
  <si>
    <t>31.01.94</t>
  </si>
  <si>
    <t>Chillón - SPL</t>
  </si>
  <si>
    <t>24.02.94</t>
  </si>
  <si>
    <t>Cemento Yura</t>
  </si>
  <si>
    <t>25.02.94</t>
  </si>
  <si>
    <t>Cerper</t>
  </si>
  <si>
    <t>28.02.94</t>
  </si>
  <si>
    <t>ENTEL - CPT</t>
  </si>
  <si>
    <t>Telecomunic.</t>
  </si>
  <si>
    <t>(c1)</t>
  </si>
  <si>
    <t>06.04.94</t>
  </si>
  <si>
    <t>01.09.04</t>
  </si>
  <si>
    <t>27.01.11</t>
  </si>
  <si>
    <t>Banda C de 1900 MHz. (Cuarto Operador)</t>
  </si>
  <si>
    <t>a27</t>
  </si>
  <si>
    <t>22.02.11</t>
  </si>
  <si>
    <t>Proyecto Concesión Centro Penitenciario</t>
  </si>
  <si>
    <t>(c7)</t>
  </si>
  <si>
    <t>(c8)</t>
  </si>
  <si>
    <t>(c9)</t>
  </si>
  <si>
    <t>(c10)</t>
  </si>
  <si>
    <t>Pago de contraprestación periódica del 2.51% de las ventas netas efectuadas desde el primer semestre de 2005 y el segundo semestre de 2010 y que seguirá haciendose en forma semestral durante la vida de la mina.</t>
  </si>
  <si>
    <t>Inversión auditada durante el periodo de opción.</t>
  </si>
  <si>
    <t xml:space="preserve">Centromín - Proyecto Alto Chicama </t>
  </si>
  <si>
    <t>(c11)</t>
  </si>
  <si>
    <t>(c12)</t>
  </si>
  <si>
    <t>TOTAL 2009</t>
  </si>
  <si>
    <t>10.03.11</t>
  </si>
  <si>
    <t>Proyecto turístico El Chaco La Puntilla Lote D</t>
  </si>
  <si>
    <t>Pago por derecho de Opción. (ver Nº 255)</t>
  </si>
  <si>
    <t>Inversiones realizadas durante el periodo de Opción. (ver Nº 255)</t>
  </si>
  <si>
    <t>Pago por transferencia del Proyecto. (ver Nº 223)</t>
  </si>
  <si>
    <t>Inversión estimada para la construcción del Proyecto. (ver Nº 223)</t>
  </si>
  <si>
    <t>24.03.11</t>
  </si>
  <si>
    <t>Energía de Centrales Hidroeléctricas 500 MW</t>
  </si>
  <si>
    <t>(c13)</t>
  </si>
  <si>
    <t>Monto estimado de la inversión total que deberán efectuar las empresas adjudicatarias de la buena Pro Consorcio Generación Pucará (Ofertas 1 y 2), Empresa de Generación Huallaga S.A. y Cero del Aguila S.A. en la construcción de tres (3) nuevas centrales hidroeléctricas de una potencia nominal total ascendente a 911.8 MW considerando un ratio de US$2,000 la inversión por KW instalado, a fin de suministrar la Potencia Ofrecida: 5 MW, 55 MW, 284 MW y 200 MW, respectivamente. Las nuevas centrales hidroeléctricas en referencia y su respectiva potencia nominal se citan a continuación: C.H. Pucará 149.8 MW, C.H. Chaglia 360 MW y C.H. Cerro del Aguila 402 MW.</t>
  </si>
  <si>
    <t>02.09.10</t>
  </si>
  <si>
    <t>Corresponde al pago por "derecho de llave" ascendente a US$ 30,000 más el pago de alquiler del segundo y tercer año, ascendentes a US$ 40,500 y US$ 135,000 respectivamente, de acuerdo al Contrato de Arrendamiento con Opción de Compra de los Bienes Muebles e Inmuebles que conforman la Fábrica de Tubos de Vitrorresina. Dicha opción no fue ejercida.</t>
  </si>
  <si>
    <t>31.03.11</t>
  </si>
  <si>
    <t>Línea de Transmisión Trujillo - Chiclayo en 500 KV</t>
  </si>
  <si>
    <t>01.04.11</t>
  </si>
  <si>
    <t>Terminal Norte Multipropósito en el Terminal Portuario del Callao</t>
  </si>
  <si>
    <t>(c14)</t>
  </si>
  <si>
    <t>Monto a valores corrientes.</t>
  </si>
  <si>
    <t>TOTAL 2011</t>
  </si>
  <si>
    <t>15.04.11</t>
  </si>
  <si>
    <t>07.04.11</t>
  </si>
  <si>
    <t>Reserva Fría de Generación: Planta Eten 200 Mw 
(ubicación anterior Trujillo)</t>
  </si>
  <si>
    <t>27.04.11</t>
  </si>
  <si>
    <t>Terminal Poruario de Yurimaguas - Nueva Reforma</t>
  </si>
  <si>
    <t>L.T. Machupicchu-Abancay-Cotaruse de 220 kV</t>
  </si>
  <si>
    <t>c(9)</t>
  </si>
  <si>
    <t>19.12.98</t>
  </si>
  <si>
    <t>F. PROYECTOS FITEL</t>
  </si>
  <si>
    <t>TOTAL PROYECTOS FITEL</t>
  </si>
  <si>
    <t>21.06.11</t>
  </si>
  <si>
    <t xml:space="preserve">E. INICIATIVAS PRIVADAS </t>
  </si>
  <si>
    <t>G. OTRAS MODALIDADES</t>
  </si>
  <si>
    <t>TOTAL OTRAS MODALIDADES</t>
  </si>
  <si>
    <t>07.07.11</t>
  </si>
  <si>
    <t>Consorcio Hotelero del Norte</t>
  </si>
  <si>
    <t>13.07.11</t>
  </si>
  <si>
    <t>22.01.08</t>
  </si>
  <si>
    <t>19.02.08</t>
  </si>
  <si>
    <t>18.02.09</t>
  </si>
  <si>
    <t>13.05.09</t>
  </si>
  <si>
    <t>09.12.09</t>
  </si>
  <si>
    <t>Ex Hoteles de Turistas (Iquitos)</t>
  </si>
  <si>
    <t>Ex Hoteles de Turistas (Chimbote)</t>
  </si>
  <si>
    <t>24.08.11</t>
  </si>
  <si>
    <t>Usufructo Proyecto Centro Civico y Comercial de Lima</t>
  </si>
  <si>
    <t>Proyecto Minero Las Bambas (Transferencia)</t>
  </si>
  <si>
    <t>Proyecto Minero Magistral (Empresa Activos Mineros S.A.)</t>
  </si>
  <si>
    <t xml:space="preserve">En estos Proyectos de Telecomunicaciones, la modalidad en la que se ejecuta el concurso es la entrega de un subsidio (financiamiento no reembolsable) a una empresa privada para la ejecución de un proyecto que es deficitario. Se establece un subsidio base y las empresas concursan por el menor subsidio.
El monto de inversión proyectada corresponde al subsidio del Estado solicitado por la empresa adjudicataria. </t>
  </si>
  <si>
    <t>15.12.11</t>
  </si>
  <si>
    <t>Banda 10.15-10.30 GHz y 10.50-10.65 GHz en la provincia de Lima y provincia constitucional del Callao</t>
  </si>
  <si>
    <t>(c15)</t>
  </si>
  <si>
    <t xml:space="preserve">El monto de inversión proyectada corresponde al subsidio del Estado solicitado por la empresa adjudicataria. </t>
  </si>
  <si>
    <t>(c16)</t>
  </si>
  <si>
    <t>Monto equivalente a la provisión de acceso a internet gratuito a 4,025 escuelas del Ministerio de Educación durante 10 años.</t>
  </si>
  <si>
    <t>Primer Grupo de Aeropuertos Regionales</t>
  </si>
  <si>
    <t>Proyecto Especial Sistema Eléctrico de Transporte Masivo de Lima y Callao, Línea 1, Villa el Salvador – Av. Grau – San Juan de Lurigancho</t>
  </si>
  <si>
    <t>Justicia</t>
  </si>
  <si>
    <t xml:space="preserve">*  </t>
  </si>
  <si>
    <t>Mediante D.S. 228-2001-EF del 13/12/2001, se aprueba el Contrato de Reconocimiento de obligaciones, dación pago, transacción, extinción de derecho y obligaciones y pactos diversos, a suscribirse entre el FONAFE y JORBSA ELÉCTRICA S.A.C.</t>
  </si>
  <si>
    <t xml:space="preserve">**  </t>
  </si>
  <si>
    <t>El 17 de octubre de 2003 se realizó la Subasta Pública en el local de la Bolsa de Valores de Lima del crédito contenido en el Contrato de Compra Venta de Acciones de Electro Sur Medio por US$ 11 MM.</t>
  </si>
  <si>
    <t xml:space="preserve">***   </t>
  </si>
  <si>
    <t>El 25 de octubre de 2004 se realizó la Subasta Pública en el local de la Bolsa de Valores de Lima del Cuarto Paquete de Créditos del Programa de Transferencia de Créditos.   En la subasta se adjudicaron los créditos contenidos en los contratos de compra venta de Pesca Perú Refinería Callao S.A. y Hotel de Turistas de Tarma, por un total de US$ 412 M.</t>
  </si>
  <si>
    <t>H. PROCESOS EXCLUÍDOS</t>
  </si>
  <si>
    <t>10.05.12</t>
  </si>
  <si>
    <t xml:space="preserve">Reserva Fría de Generación: Plantas: Pucallpa y Puerto Maldonado </t>
  </si>
  <si>
    <t>TOTAL 2012</t>
  </si>
  <si>
    <t>18.05.12</t>
  </si>
  <si>
    <t>28.05.12</t>
  </si>
  <si>
    <t>Empresa Agroindustrial Pomalca</t>
  </si>
  <si>
    <t>Empresa Agroindustrial Tumán</t>
  </si>
  <si>
    <t>14.08.12</t>
  </si>
  <si>
    <t>Bandas 899-915 MHz y 944-960 MHz en la provinccia de Lima y la Provincia Constitucional del Callao y las Bandas 902-915 MHz y 947-960 MHz en el resto del país.</t>
  </si>
  <si>
    <t>(c17)</t>
  </si>
  <si>
    <t>El monto incluye:
Provisión de acceso gratuito a internet de banda ancha en 718 instituciones beneficiarias (colegios, postas de salud y municipios).
Costo de limpieza de la banda.</t>
  </si>
  <si>
    <t>16.08.12</t>
  </si>
  <si>
    <t xml:space="preserve">Panamericana Sur: Ica - Frontera con Chile  (Tramo Dv. Quilca – Dv. Arequipa;      Dv. Matarani – Dv. Moquegua; Dv. Ilo – Tacna – La Concordia) </t>
  </si>
  <si>
    <t>22.11.12</t>
  </si>
  <si>
    <t>Línea de Transmisión Carhuaquero - Cajamarca Norte - Cáclic - Moyobamba en 220 KV.</t>
  </si>
  <si>
    <t>Venta del inmueble del FCR "Parque Unión" y "Fundo SAMAR"</t>
  </si>
  <si>
    <t>12.12.12</t>
  </si>
  <si>
    <t>Chaco la Puntilla Lote E</t>
  </si>
  <si>
    <t>21.02.13</t>
  </si>
  <si>
    <t>Línea de Transmisión - Machupicchu - Quencoro - Onocora - Tintaya y Subestaciones Asociadas</t>
  </si>
  <si>
    <t>11.01.13</t>
  </si>
  <si>
    <t>Ex Hoteles de Turistas Monterrey Huaraz e Ica.</t>
  </si>
  <si>
    <t>TOTAL 2013</t>
  </si>
  <si>
    <t>21.03.13</t>
  </si>
  <si>
    <t>Energía de Centrales Hidroléctricas (CH Molloco)</t>
  </si>
  <si>
    <t>16.05.13</t>
  </si>
  <si>
    <t>Suministro de Energía para Iquitos</t>
  </si>
  <si>
    <t>18.07.13</t>
  </si>
  <si>
    <t>Línea de Transmisión 500 kV Mantaro – Marcona – Socabaya – Montalvo y Subestaciones Asociadas</t>
  </si>
  <si>
    <t>22.07.13</t>
  </si>
  <si>
    <t>Concesión Única para la Prestación de Servicios Públicos de Telecomunicaciones y Asignación de las Bandas 1710-1770 MHz y 2110-2170 MHz a Nivel Nacional</t>
  </si>
  <si>
    <t>25.07.13</t>
  </si>
  <si>
    <t>Masificación del Uso de Gas Natural a Nivel Nacional</t>
  </si>
  <si>
    <t>Venta de acciones de las empresas Telefónica S.A. y Telefónica del Perú S.A.A.</t>
  </si>
  <si>
    <t>08 y 13.08.13</t>
  </si>
  <si>
    <t>(en dólares sin incluir IGV)</t>
  </si>
  <si>
    <r>
      <t xml:space="preserve">Central Hidroeléctrica Santa Teresa 90 Mw  </t>
    </r>
    <r>
      <rPr>
        <vertAlign val="superscript"/>
        <sz val="10"/>
        <rFont val="Calibri"/>
        <family val="2"/>
      </rPr>
      <t>a25</t>
    </r>
  </si>
  <si>
    <r>
      <t>Petromar</t>
    </r>
    <r>
      <rPr>
        <vertAlign val="superscript"/>
        <sz val="10"/>
        <color indexed="8"/>
        <rFont val="Calibri"/>
        <family val="2"/>
      </rPr>
      <t>1</t>
    </r>
  </si>
  <si>
    <r>
      <t xml:space="preserve">Cerro Verde </t>
    </r>
    <r>
      <rPr>
        <vertAlign val="superscript"/>
        <sz val="10"/>
        <color indexed="8"/>
        <rFont val="Calibri"/>
        <family val="2"/>
      </rPr>
      <t>2</t>
    </r>
  </si>
  <si>
    <r>
      <t xml:space="preserve">Tintaya </t>
    </r>
    <r>
      <rPr>
        <vertAlign val="superscript"/>
        <sz val="10"/>
        <color indexed="8"/>
        <rFont val="Calibri"/>
        <family val="2"/>
      </rPr>
      <t>4</t>
    </r>
  </si>
  <si>
    <r>
      <t>Ref. de Cajamarquilla</t>
    </r>
    <r>
      <rPr>
        <vertAlign val="superscript"/>
        <sz val="10"/>
        <color indexed="8"/>
        <rFont val="Calibri"/>
        <family val="2"/>
      </rPr>
      <t xml:space="preserve"> 5</t>
    </r>
  </si>
  <si>
    <r>
      <t xml:space="preserve">Cementos Norte Pacasmayo </t>
    </r>
    <r>
      <rPr>
        <vertAlign val="superscript"/>
        <sz val="10"/>
        <color indexed="8"/>
        <rFont val="Calibri"/>
        <family val="2"/>
      </rPr>
      <t>6</t>
    </r>
  </si>
  <si>
    <r>
      <t xml:space="preserve">Emsal </t>
    </r>
    <r>
      <rPr>
        <vertAlign val="superscript"/>
        <sz val="10"/>
        <color indexed="8"/>
        <rFont val="Calibri"/>
        <family val="2"/>
      </rPr>
      <t>7</t>
    </r>
  </si>
  <si>
    <r>
      <t xml:space="preserve">Hoteles de Turistas </t>
    </r>
    <r>
      <rPr>
        <vertAlign val="superscript"/>
        <sz val="10"/>
        <color indexed="8"/>
        <rFont val="Calibri"/>
        <family val="2"/>
      </rPr>
      <t>8</t>
    </r>
  </si>
  <si>
    <r>
      <t xml:space="preserve">Entel Perú - trabajadores </t>
    </r>
    <r>
      <rPr>
        <vertAlign val="superscript"/>
        <sz val="10"/>
        <color indexed="8"/>
        <rFont val="Calibri"/>
        <family val="2"/>
      </rPr>
      <t>9</t>
    </r>
  </si>
  <si>
    <r>
      <t xml:space="preserve">Epsep - Activos </t>
    </r>
    <r>
      <rPr>
        <vertAlign val="superscript"/>
        <sz val="10"/>
        <color indexed="8"/>
        <rFont val="Calibri"/>
        <family val="2"/>
      </rPr>
      <t>10</t>
    </r>
  </si>
  <si>
    <r>
      <t xml:space="preserve">Pesq.Grau-Compl.Paita </t>
    </r>
    <r>
      <rPr>
        <vertAlign val="superscript"/>
        <sz val="10"/>
        <color indexed="8"/>
        <rFont val="Calibri"/>
        <family val="2"/>
      </rPr>
      <t>11</t>
    </r>
  </si>
  <si>
    <r>
      <t xml:space="preserve">Banco Continental </t>
    </r>
    <r>
      <rPr>
        <vertAlign val="superscript"/>
        <sz val="10"/>
        <color indexed="8"/>
        <rFont val="Calibri"/>
        <family val="2"/>
      </rPr>
      <t>12</t>
    </r>
  </si>
  <si>
    <r>
      <t xml:space="preserve">Cahua </t>
    </r>
    <r>
      <rPr>
        <vertAlign val="superscript"/>
        <sz val="10"/>
        <color indexed="8"/>
        <rFont val="Calibri"/>
        <family val="2"/>
      </rPr>
      <t>13</t>
    </r>
  </si>
  <si>
    <r>
      <t xml:space="preserve">Hotel Turistas Chiclayo,  H.Tingo María </t>
    </r>
    <r>
      <rPr>
        <vertAlign val="superscript"/>
        <sz val="10"/>
        <color indexed="8"/>
        <rFont val="Calibri"/>
        <family val="2"/>
      </rPr>
      <t>8</t>
    </r>
  </si>
  <si>
    <r>
      <t xml:space="preserve">Compl. Pesq. Samanco </t>
    </r>
    <r>
      <rPr>
        <vertAlign val="superscript"/>
        <sz val="10"/>
        <color indexed="8"/>
        <rFont val="Calibri"/>
        <family val="2"/>
      </rPr>
      <t>14</t>
    </r>
  </si>
  <si>
    <r>
      <t xml:space="preserve">Cem. N. Pacasmayo </t>
    </r>
    <r>
      <rPr>
        <vertAlign val="superscript"/>
        <sz val="10"/>
        <color indexed="8"/>
        <rFont val="Calibri"/>
        <family val="2"/>
      </rPr>
      <t>6</t>
    </r>
  </si>
  <si>
    <r>
      <t xml:space="preserve">Edelnor - Trabajadores </t>
    </r>
    <r>
      <rPr>
        <vertAlign val="superscript"/>
        <sz val="10"/>
        <color indexed="8"/>
        <rFont val="Calibri"/>
        <family val="2"/>
      </rPr>
      <t>16</t>
    </r>
  </si>
  <si>
    <r>
      <t xml:space="preserve">Banco Continental - Saldo Acc.     </t>
    </r>
    <r>
      <rPr>
        <vertAlign val="superscript"/>
        <sz val="10"/>
        <color indexed="8"/>
        <rFont val="Calibri"/>
        <family val="2"/>
      </rPr>
      <t>12</t>
    </r>
  </si>
  <si>
    <r>
      <t xml:space="preserve">Edegel  </t>
    </r>
    <r>
      <rPr>
        <vertAlign val="superscript"/>
        <sz val="10"/>
        <color indexed="8"/>
        <rFont val="Calibri"/>
        <family val="2"/>
      </rPr>
      <t>17</t>
    </r>
  </si>
  <si>
    <r>
      <t xml:space="preserve">Cemento Sur S.A.  </t>
    </r>
    <r>
      <rPr>
        <vertAlign val="superscript"/>
        <sz val="10"/>
        <color indexed="8"/>
        <rFont val="Calibri"/>
        <family val="2"/>
      </rPr>
      <t>18</t>
    </r>
  </si>
  <si>
    <r>
      <t xml:space="preserve">Epersur - Equipos de Frío </t>
    </r>
    <r>
      <rPr>
        <vertAlign val="superscript"/>
        <sz val="10"/>
        <color indexed="8"/>
        <rFont val="Calibri"/>
        <family val="2"/>
      </rPr>
      <t>19</t>
    </r>
  </si>
  <si>
    <r>
      <t xml:space="preserve">Epersur - Frigorífico Pesquero de Tacna </t>
    </r>
    <r>
      <rPr>
        <vertAlign val="superscript"/>
        <sz val="10"/>
        <color indexed="8"/>
        <rFont val="Calibri"/>
        <family val="2"/>
      </rPr>
      <t>19</t>
    </r>
  </si>
  <si>
    <r>
      <t xml:space="preserve">EDE - Chancay   </t>
    </r>
    <r>
      <rPr>
        <vertAlign val="superscript"/>
        <sz val="10"/>
        <color indexed="8"/>
        <rFont val="Calibri"/>
        <family val="2"/>
      </rPr>
      <t>20</t>
    </r>
  </si>
  <si>
    <r>
      <t xml:space="preserve">Sider Perú S.A. </t>
    </r>
    <r>
      <rPr>
        <vertAlign val="superscript"/>
        <sz val="10"/>
        <color indexed="8"/>
        <rFont val="Calibri"/>
        <family val="2"/>
      </rPr>
      <t>21</t>
    </r>
  </si>
  <si>
    <r>
      <t xml:space="preserve">Sider Perú S.A. - Trabajadores </t>
    </r>
    <r>
      <rPr>
        <vertAlign val="superscript"/>
        <sz val="10"/>
        <color indexed="8"/>
        <rFont val="Calibri"/>
        <family val="2"/>
      </rPr>
      <t>22</t>
    </r>
  </si>
  <si>
    <r>
      <t xml:space="preserve">Epersur - Complejo Industrial de Ilo </t>
    </r>
    <r>
      <rPr>
        <vertAlign val="superscript"/>
        <sz val="10"/>
        <color indexed="8"/>
        <rFont val="Calibri"/>
        <family val="2"/>
      </rPr>
      <t>19</t>
    </r>
  </si>
  <si>
    <r>
      <t xml:space="preserve">Petroperú - Refinería la Pampilla  </t>
    </r>
    <r>
      <rPr>
        <vertAlign val="superscript"/>
        <sz val="10"/>
        <color indexed="8"/>
        <rFont val="Calibri"/>
        <family val="2"/>
      </rPr>
      <t>23</t>
    </r>
  </si>
  <si>
    <r>
      <t xml:space="preserve">Petroperú - Lotes 8/8X   </t>
    </r>
    <r>
      <rPr>
        <vertAlign val="superscript"/>
        <sz val="10"/>
        <color indexed="8"/>
        <rFont val="Calibri"/>
        <family val="2"/>
      </rPr>
      <t>a5</t>
    </r>
  </si>
  <si>
    <r>
      <t xml:space="preserve">Empresa de Generación Eléctrica Nor Perú S.A. </t>
    </r>
    <r>
      <rPr>
        <vertAlign val="superscript"/>
        <sz val="10"/>
        <color indexed="8"/>
        <rFont val="Calibri"/>
        <family val="2"/>
      </rPr>
      <t>24</t>
    </r>
  </si>
  <si>
    <r>
      <t xml:space="preserve">Empresa de Distribución Eléctrica de Cañete S.A. </t>
    </r>
    <r>
      <rPr>
        <vertAlign val="superscript"/>
        <sz val="10"/>
        <color indexed="8"/>
        <rFont val="Calibri"/>
        <family val="2"/>
      </rPr>
      <t>25</t>
    </r>
  </si>
  <si>
    <r>
      <t xml:space="preserve">Acc. Telefónica del Perú S.A. T.Institucional Local </t>
    </r>
    <r>
      <rPr>
        <vertAlign val="superscript"/>
        <sz val="10"/>
        <color indexed="8"/>
        <rFont val="Calibri"/>
        <family val="2"/>
      </rPr>
      <t>26</t>
    </r>
  </si>
  <si>
    <r>
      <t xml:space="preserve">Acc.Telefónica del Perú S.A. T. Minorista Local </t>
    </r>
    <r>
      <rPr>
        <vertAlign val="superscript"/>
        <sz val="10"/>
        <color indexed="8"/>
        <rFont val="Calibri"/>
        <family val="2"/>
      </rPr>
      <t>26</t>
    </r>
  </si>
  <si>
    <r>
      <t xml:space="preserve">Acc. Telefónica del Perú S.A.-T.Internacional  </t>
    </r>
    <r>
      <rPr>
        <vertAlign val="superscript"/>
        <sz val="10"/>
        <color indexed="8"/>
        <rFont val="Calibri"/>
        <family val="2"/>
      </rPr>
      <t>26</t>
    </r>
  </si>
  <si>
    <r>
      <t xml:space="preserve">Centromin - Proyecto  Minero Antamina </t>
    </r>
    <r>
      <rPr>
        <vertAlign val="superscript"/>
        <sz val="10"/>
        <color indexed="8"/>
        <rFont val="Calibri"/>
        <family val="2"/>
      </rPr>
      <t>27</t>
    </r>
  </si>
  <si>
    <r>
      <t xml:space="preserve">Pesca Perú Chimbote Sur S.A. </t>
    </r>
    <r>
      <rPr>
        <vertAlign val="superscript"/>
        <sz val="10"/>
        <color indexed="8"/>
        <rFont val="Calibri"/>
        <family val="2"/>
      </rPr>
      <t>28</t>
    </r>
  </si>
  <si>
    <r>
      <t xml:space="preserve">Pesca Perú Supe Sur S.A. </t>
    </r>
    <r>
      <rPr>
        <vertAlign val="superscript"/>
        <sz val="10"/>
        <color indexed="8"/>
        <rFont val="Calibri"/>
        <family val="2"/>
      </rPr>
      <t>28</t>
    </r>
  </si>
  <si>
    <r>
      <t xml:space="preserve">Luz del Sur - Venta a Trabajadores </t>
    </r>
    <r>
      <rPr>
        <vertAlign val="superscript"/>
        <sz val="10"/>
        <color indexed="8"/>
        <rFont val="Calibri"/>
        <family val="2"/>
      </rPr>
      <t>29</t>
    </r>
  </si>
  <si>
    <r>
      <t xml:space="preserve">Edegel - Venta a trabajadores </t>
    </r>
    <r>
      <rPr>
        <vertAlign val="superscript"/>
        <sz val="10"/>
        <color indexed="8"/>
        <rFont val="Calibri"/>
        <family val="2"/>
      </rPr>
      <t>29</t>
    </r>
  </si>
  <si>
    <r>
      <t xml:space="preserve">Petrolube S.A. </t>
    </r>
    <r>
      <rPr>
        <vertAlign val="superscript"/>
        <sz val="10"/>
        <color indexed="8"/>
        <rFont val="Calibri"/>
        <family val="2"/>
      </rPr>
      <t>30</t>
    </r>
  </si>
  <si>
    <r>
      <t xml:space="preserve">Pesca Perú Refinería de Ilo S.A. </t>
    </r>
    <r>
      <rPr>
        <vertAlign val="superscript"/>
        <sz val="10"/>
        <color indexed="8"/>
        <rFont val="Calibri"/>
        <family val="2"/>
      </rPr>
      <t>19</t>
    </r>
  </si>
  <si>
    <r>
      <t xml:space="preserve">Empresa Eléctrica de Piura - EEP   </t>
    </r>
    <r>
      <rPr>
        <vertAlign val="superscript"/>
        <sz val="10"/>
        <color indexed="8"/>
        <rFont val="Calibri"/>
        <family val="2"/>
      </rPr>
      <t>d3</t>
    </r>
  </si>
  <si>
    <r>
      <t xml:space="preserve">Industrial Cachimayo S.A. </t>
    </r>
    <r>
      <rPr>
        <vertAlign val="superscript"/>
        <sz val="10"/>
        <color indexed="8"/>
        <rFont val="Calibri"/>
        <family val="2"/>
      </rPr>
      <t>31</t>
    </r>
  </si>
  <si>
    <r>
      <t xml:space="preserve">Etevensa - Venta a Trabajadores </t>
    </r>
    <r>
      <rPr>
        <vertAlign val="superscript"/>
        <sz val="10"/>
        <color indexed="8"/>
        <rFont val="Calibri"/>
        <family val="2"/>
      </rPr>
      <t>32</t>
    </r>
  </si>
  <si>
    <r>
      <t xml:space="preserve">Cahua - Venta a Trabajadores </t>
    </r>
    <r>
      <rPr>
        <vertAlign val="superscript"/>
        <sz val="10"/>
        <color indexed="8"/>
        <rFont val="Calibri"/>
        <family val="2"/>
      </rPr>
      <t>32</t>
    </r>
  </si>
  <si>
    <r>
      <t xml:space="preserve">Egenor - Venta a Trabajadores </t>
    </r>
    <r>
      <rPr>
        <vertAlign val="superscript"/>
        <sz val="10"/>
        <color indexed="8"/>
        <rFont val="Calibri"/>
        <family val="2"/>
      </rPr>
      <t>32</t>
    </r>
  </si>
  <si>
    <r>
      <t>Pesca Perú Chancay</t>
    </r>
    <r>
      <rPr>
        <vertAlign val="superscript"/>
        <sz val="10"/>
        <color indexed="8"/>
        <rFont val="Calibri"/>
        <family val="2"/>
      </rPr>
      <t xml:space="preserve"> 33</t>
    </r>
  </si>
  <si>
    <r>
      <t xml:space="preserve">Acc.Luz del Sur.  T.Internacional  </t>
    </r>
    <r>
      <rPr>
        <vertAlign val="superscript"/>
        <sz val="10"/>
        <color indexed="8"/>
        <rFont val="Calibri"/>
        <family val="2"/>
      </rPr>
      <t>36</t>
    </r>
  </si>
  <si>
    <r>
      <t xml:space="preserve">Acc.Luz del Sur.  T.Institucional Local </t>
    </r>
    <r>
      <rPr>
        <vertAlign val="superscript"/>
        <sz val="10"/>
        <color indexed="8"/>
        <rFont val="Calibri"/>
        <family val="2"/>
      </rPr>
      <t xml:space="preserve"> 36</t>
    </r>
  </si>
  <si>
    <r>
      <t xml:space="preserve">Acc.Luz del Sur.  T.Minorista Local </t>
    </r>
    <r>
      <rPr>
        <vertAlign val="superscript"/>
        <sz val="10"/>
        <color indexed="8"/>
        <rFont val="Calibri"/>
        <family val="2"/>
      </rPr>
      <t>36</t>
    </r>
  </si>
  <si>
    <r>
      <t xml:space="preserve">Pesca Perú Huacho S.A.  </t>
    </r>
    <r>
      <rPr>
        <vertAlign val="superscript"/>
        <sz val="10"/>
        <color indexed="8"/>
        <rFont val="Calibri"/>
        <family val="2"/>
      </rPr>
      <t>33</t>
    </r>
  </si>
  <si>
    <r>
      <t xml:space="preserve">Pesca Perú Callao Norte S.A. </t>
    </r>
    <r>
      <rPr>
        <vertAlign val="superscript"/>
        <sz val="10"/>
        <color indexed="8"/>
        <rFont val="Calibri"/>
        <family val="2"/>
      </rPr>
      <t xml:space="preserve"> 33</t>
    </r>
  </si>
  <si>
    <r>
      <t xml:space="preserve">Pesca Perú Refinería Chimbote S.A. </t>
    </r>
    <r>
      <rPr>
        <vertAlign val="superscript"/>
        <sz val="10"/>
        <color indexed="8"/>
        <rFont val="Calibri"/>
        <family val="2"/>
      </rPr>
      <t xml:space="preserve"> 33</t>
    </r>
  </si>
  <si>
    <r>
      <t xml:space="preserve">Electro Sur Medio S.A.   </t>
    </r>
    <r>
      <rPr>
        <vertAlign val="superscript"/>
        <sz val="10"/>
        <color indexed="8"/>
        <rFont val="Calibri"/>
        <family val="2"/>
      </rPr>
      <t xml:space="preserve"> 37</t>
    </r>
  </si>
  <si>
    <r>
      <t>Empresa Minera Yauliyacu S.A.</t>
    </r>
    <r>
      <rPr>
        <vertAlign val="superscript"/>
        <sz val="10"/>
        <color indexed="8"/>
        <rFont val="Calibri"/>
        <family val="2"/>
      </rPr>
      <t xml:space="preserve"> 34</t>
    </r>
  </si>
  <si>
    <r>
      <t xml:space="preserve">Centromín - La Carcajada y Perro Ciego </t>
    </r>
    <r>
      <rPr>
        <vertAlign val="superscript"/>
        <sz val="10"/>
        <color indexed="8"/>
        <rFont val="Calibri"/>
        <family val="2"/>
      </rPr>
      <t>35</t>
    </r>
  </si>
  <si>
    <r>
      <t xml:space="preserve">Emp. Radio Panamericana S.A. y Emp.Difusora Radio Tele </t>
    </r>
    <r>
      <rPr>
        <vertAlign val="superscript"/>
        <sz val="10"/>
        <color indexed="8"/>
        <rFont val="Calibri"/>
        <family val="2"/>
      </rPr>
      <t>38</t>
    </r>
  </si>
  <si>
    <r>
      <t xml:space="preserve">Planta Lechera de Sullana S.A. </t>
    </r>
    <r>
      <rPr>
        <vertAlign val="superscript"/>
        <sz val="10"/>
        <color indexed="8"/>
        <rFont val="Calibri"/>
        <family val="2"/>
      </rPr>
      <t xml:space="preserve"> 39</t>
    </r>
  </si>
  <si>
    <r>
      <t xml:space="preserve">SPL - Módulo Trupal  </t>
    </r>
    <r>
      <rPr>
        <vertAlign val="superscript"/>
        <sz val="10"/>
        <color indexed="8"/>
        <rFont val="Calibri"/>
        <family val="2"/>
      </rPr>
      <t xml:space="preserve"> 40</t>
    </r>
  </si>
  <si>
    <r>
      <t xml:space="preserve">Pesca Perú Tambo de Mora Sur S.A. </t>
    </r>
    <r>
      <rPr>
        <vertAlign val="superscript"/>
        <sz val="10"/>
        <color indexed="8"/>
        <rFont val="Calibri"/>
        <family val="2"/>
      </rPr>
      <t xml:space="preserve"> 41</t>
    </r>
  </si>
  <si>
    <r>
      <t xml:space="preserve">Pesca Perú Refinería Callao S.A. </t>
    </r>
    <r>
      <rPr>
        <vertAlign val="superscript"/>
        <sz val="10"/>
        <color indexed="8"/>
        <rFont val="Calibri"/>
        <family val="2"/>
      </rPr>
      <t>33</t>
    </r>
  </si>
  <si>
    <r>
      <t xml:space="preserve">Minero Perú - Las Huaquillas </t>
    </r>
    <r>
      <rPr>
        <vertAlign val="superscript"/>
        <sz val="10"/>
        <color indexed="8"/>
        <rFont val="Calibri"/>
        <family val="2"/>
      </rPr>
      <t>42</t>
    </r>
  </si>
  <si>
    <r>
      <t xml:space="preserve">ENATA - Planta Industrial de Ate  </t>
    </r>
    <r>
      <rPr>
        <vertAlign val="superscript"/>
        <sz val="10"/>
        <color indexed="8"/>
        <rFont val="Calibri"/>
        <family val="2"/>
      </rPr>
      <t>40</t>
    </r>
  </si>
  <si>
    <r>
      <t xml:space="preserve">Empresa Metalúrgica de la Oroya S.A. </t>
    </r>
    <r>
      <rPr>
        <vertAlign val="superscript"/>
        <sz val="10"/>
        <color indexed="8"/>
        <rFont val="Calibri"/>
        <family val="2"/>
      </rPr>
      <t xml:space="preserve">  d4</t>
    </r>
  </si>
  <si>
    <r>
      <t xml:space="preserve">Empresa Minera Mahr Túnel S.A.  </t>
    </r>
    <r>
      <rPr>
        <vertAlign val="superscript"/>
        <sz val="10"/>
        <color indexed="8"/>
        <rFont val="Calibri"/>
        <family val="2"/>
      </rPr>
      <t>44</t>
    </r>
  </si>
  <si>
    <r>
      <t xml:space="preserve">Pesca Perú Tambo de Mora Norte S.A. </t>
    </r>
    <r>
      <rPr>
        <vertAlign val="superscript"/>
        <sz val="10"/>
        <color indexed="8"/>
        <rFont val="Calibri"/>
        <family val="2"/>
      </rPr>
      <t xml:space="preserve">  33</t>
    </r>
  </si>
  <si>
    <r>
      <t xml:space="preserve">Tierras P.E. Chavimochic - Etapa I (6,456 has.)  </t>
    </r>
    <r>
      <rPr>
        <vertAlign val="superscript"/>
        <sz val="10"/>
        <color indexed="8"/>
        <rFont val="Calibri"/>
        <family val="2"/>
      </rPr>
      <t xml:space="preserve"> 45</t>
    </r>
  </si>
  <si>
    <r>
      <t xml:space="preserve">Yacimiento Berenguela  </t>
    </r>
    <r>
      <rPr>
        <vertAlign val="superscript"/>
        <sz val="10"/>
        <color indexed="8"/>
        <rFont val="Calibri"/>
        <family val="2"/>
      </rPr>
      <t xml:space="preserve"> 46</t>
    </r>
  </si>
  <si>
    <r>
      <t xml:space="preserve">SPL - Módulo Químico    </t>
    </r>
    <r>
      <rPr>
        <vertAlign val="superscript"/>
        <sz val="10"/>
        <color indexed="8"/>
        <rFont val="Calibri"/>
        <family val="2"/>
      </rPr>
      <t>40</t>
    </r>
  </si>
  <si>
    <r>
      <t xml:space="preserve">Pesca Perú Refinería Pisco S.A.  </t>
    </r>
    <r>
      <rPr>
        <vertAlign val="superscript"/>
        <sz val="10"/>
        <color indexed="8"/>
        <rFont val="Calibri"/>
        <family val="2"/>
      </rPr>
      <t>19</t>
    </r>
  </si>
  <si>
    <r>
      <t xml:space="preserve">Pesca Perú Refinería Supe S.A.  </t>
    </r>
    <r>
      <rPr>
        <vertAlign val="superscript"/>
        <sz val="10"/>
        <color indexed="8"/>
        <rFont val="Calibri"/>
        <family val="2"/>
      </rPr>
      <t>19</t>
    </r>
  </si>
  <si>
    <r>
      <t xml:space="preserve">Petroperú - Terminales del Norte </t>
    </r>
    <r>
      <rPr>
        <vertAlign val="superscript"/>
        <sz val="10"/>
        <color indexed="8"/>
        <rFont val="Calibri"/>
        <family val="2"/>
      </rPr>
      <t>a6</t>
    </r>
  </si>
  <si>
    <r>
      <t xml:space="preserve">Petroperú - Terminales del Centro </t>
    </r>
    <r>
      <rPr>
        <vertAlign val="superscript"/>
        <sz val="10"/>
        <color indexed="8"/>
        <rFont val="Calibri"/>
        <family val="2"/>
      </rPr>
      <t>a7</t>
    </r>
  </si>
  <si>
    <r>
      <t xml:space="preserve">Petroperú - Terminales del Sur </t>
    </r>
    <r>
      <rPr>
        <vertAlign val="superscript"/>
        <sz val="10"/>
        <color indexed="8"/>
        <rFont val="Calibri"/>
        <family val="2"/>
      </rPr>
      <t>a8</t>
    </r>
  </si>
  <si>
    <r>
      <t xml:space="preserve">Pesca Perú Callao Sur S.A.  </t>
    </r>
    <r>
      <rPr>
        <vertAlign val="superscript"/>
        <sz val="10"/>
        <color indexed="8"/>
        <rFont val="Calibri"/>
        <family val="2"/>
      </rPr>
      <t>19</t>
    </r>
  </si>
  <si>
    <r>
      <t xml:space="preserve">Pesca Perú Chimbote Norte S.A.  </t>
    </r>
    <r>
      <rPr>
        <vertAlign val="superscript"/>
        <sz val="10"/>
        <color indexed="8"/>
        <rFont val="Calibri"/>
        <family val="2"/>
      </rPr>
      <t>19</t>
    </r>
  </si>
  <si>
    <r>
      <t xml:space="preserve">Pesca Perú Pisco Sur S.A.  </t>
    </r>
    <r>
      <rPr>
        <vertAlign val="superscript"/>
        <sz val="10"/>
        <color indexed="8"/>
        <rFont val="Calibri"/>
        <family val="2"/>
      </rPr>
      <t>19</t>
    </r>
  </si>
  <si>
    <r>
      <t xml:space="preserve">Emp.Reg.Ganadera Ucayali - activos   </t>
    </r>
    <r>
      <rPr>
        <vertAlign val="superscript"/>
        <sz val="10"/>
        <color indexed="8"/>
        <rFont val="Calibri"/>
        <family val="2"/>
      </rPr>
      <t>19</t>
    </r>
  </si>
  <si>
    <r>
      <t xml:space="preserve">Pesca Perú Pisco Norte S.A.   </t>
    </r>
    <r>
      <rPr>
        <vertAlign val="superscript"/>
        <sz val="10"/>
        <color indexed="8"/>
        <rFont val="Calibri"/>
        <family val="2"/>
      </rPr>
      <t>19</t>
    </r>
  </si>
  <si>
    <r>
      <t xml:space="preserve">Tierras P.E.Pastogrande - Zona Pampa Estuquiña (60 has) </t>
    </r>
    <r>
      <rPr>
        <vertAlign val="superscript"/>
        <sz val="10"/>
        <color indexed="8"/>
        <rFont val="Calibri"/>
        <family val="2"/>
      </rPr>
      <t>19</t>
    </r>
  </si>
  <si>
    <r>
      <t xml:space="preserve">Acc. Banco Continental - Tramo Internacional </t>
    </r>
    <r>
      <rPr>
        <vertAlign val="superscript"/>
        <sz val="10"/>
        <color indexed="8"/>
        <rFont val="Calibri"/>
        <family val="2"/>
      </rPr>
      <t xml:space="preserve"> 47</t>
    </r>
  </si>
  <si>
    <r>
      <t xml:space="preserve">Acc. Banco Continental - Tramo Institucional Local </t>
    </r>
    <r>
      <rPr>
        <vertAlign val="superscript"/>
        <sz val="10"/>
        <color indexed="8"/>
        <rFont val="Calibri"/>
        <family val="2"/>
      </rPr>
      <t xml:space="preserve"> 47</t>
    </r>
  </si>
  <si>
    <r>
      <t xml:space="preserve">Acc. Banco Continental - Tramo Minorista Local  </t>
    </r>
    <r>
      <rPr>
        <vertAlign val="superscript"/>
        <sz val="10"/>
        <color indexed="8"/>
        <rFont val="Calibri"/>
        <family val="2"/>
      </rPr>
      <t>47</t>
    </r>
  </si>
  <si>
    <r>
      <t xml:space="preserve">Complejo Agroindustrial de Chao    </t>
    </r>
    <r>
      <rPr>
        <vertAlign val="superscript"/>
        <sz val="10"/>
        <color indexed="8"/>
        <rFont val="Calibri"/>
        <family val="2"/>
      </rPr>
      <t>48</t>
    </r>
  </si>
  <si>
    <r>
      <t xml:space="preserve">Electro Norte S.A.  </t>
    </r>
    <r>
      <rPr>
        <vertAlign val="superscript"/>
        <sz val="10"/>
        <color indexed="8"/>
        <rFont val="Calibri"/>
        <family val="2"/>
      </rPr>
      <t xml:space="preserve">49              </t>
    </r>
    <r>
      <rPr>
        <sz val="10"/>
        <color indexed="8"/>
        <rFont val="Calibri"/>
        <family val="2"/>
      </rPr>
      <t>*</t>
    </r>
  </si>
  <si>
    <r>
      <t xml:space="preserve">Electro Centro S.A. </t>
    </r>
    <r>
      <rPr>
        <vertAlign val="superscript"/>
        <sz val="10"/>
        <color indexed="8"/>
        <rFont val="Calibri"/>
        <family val="2"/>
      </rPr>
      <t xml:space="preserve"> 49            </t>
    </r>
    <r>
      <rPr>
        <sz val="10"/>
        <color indexed="8"/>
        <rFont val="Calibri"/>
        <family val="2"/>
      </rPr>
      <t xml:space="preserve"> *</t>
    </r>
  </si>
  <si>
    <r>
      <t xml:space="preserve">Electro Noroeste  S.A.  </t>
    </r>
    <r>
      <rPr>
        <vertAlign val="superscript"/>
        <sz val="10"/>
        <color indexed="8"/>
        <rFont val="Calibri"/>
        <family val="2"/>
      </rPr>
      <t xml:space="preserve">49         </t>
    </r>
    <r>
      <rPr>
        <sz val="10"/>
        <color indexed="8"/>
        <rFont val="Calibri"/>
        <family val="2"/>
      </rPr>
      <t>*</t>
    </r>
  </si>
  <si>
    <r>
      <t xml:space="preserve">Electro Norte Medio  S.A.  </t>
    </r>
    <r>
      <rPr>
        <vertAlign val="superscript"/>
        <sz val="10"/>
        <color indexed="8"/>
        <rFont val="Calibri"/>
        <family val="2"/>
      </rPr>
      <t xml:space="preserve">49          </t>
    </r>
    <r>
      <rPr>
        <sz val="10"/>
        <color indexed="8"/>
        <rFont val="Calibri"/>
        <family val="2"/>
      </rPr>
      <t>*</t>
    </r>
  </si>
  <si>
    <r>
      <t xml:space="preserve">Acc.Edegel - Remanente acciones  (1er tramo) </t>
    </r>
    <r>
      <rPr>
        <vertAlign val="superscript"/>
        <sz val="10"/>
        <color indexed="8"/>
        <rFont val="Calibri"/>
        <family val="2"/>
      </rPr>
      <t xml:space="preserve"> 50</t>
    </r>
  </si>
  <si>
    <r>
      <t xml:space="preserve">Acc.Edegel - Remanente acciones  (2do tramo)  </t>
    </r>
    <r>
      <rPr>
        <vertAlign val="superscript"/>
        <sz val="10"/>
        <color indexed="8"/>
        <rFont val="Calibri"/>
        <family val="2"/>
      </rPr>
      <t xml:space="preserve"> 51</t>
    </r>
  </si>
  <si>
    <r>
      <t xml:space="preserve">Acc.Edegel - Remanente acciones  (3er tramo)  </t>
    </r>
    <r>
      <rPr>
        <vertAlign val="superscript"/>
        <sz val="10"/>
        <color indexed="8"/>
        <rFont val="Calibri"/>
        <family val="2"/>
      </rPr>
      <t xml:space="preserve"> 52</t>
    </r>
  </si>
  <si>
    <r>
      <t xml:space="preserve">Proyecto Camisea - Explotación   </t>
    </r>
    <r>
      <rPr>
        <vertAlign val="superscript"/>
        <sz val="10"/>
        <color indexed="8"/>
        <rFont val="Calibri"/>
        <family val="2"/>
      </rPr>
      <t>a11</t>
    </r>
  </si>
  <si>
    <r>
      <t xml:space="preserve">Minero Perú - Prospecto Magistral    </t>
    </r>
    <r>
      <rPr>
        <vertAlign val="superscript"/>
        <sz val="10"/>
        <color indexed="8"/>
        <rFont val="Calibri"/>
        <family val="2"/>
      </rPr>
      <t>53</t>
    </r>
  </si>
  <si>
    <r>
      <t xml:space="preserve">IMEX Callao    </t>
    </r>
    <r>
      <rPr>
        <vertAlign val="superscript"/>
        <sz val="10"/>
        <color indexed="8"/>
        <rFont val="Calibri"/>
        <family val="2"/>
      </rPr>
      <t>54</t>
    </r>
  </si>
  <si>
    <r>
      <t xml:space="preserve">100% acc. Logística Integral Callao S.A. y Yauricocha S.A. </t>
    </r>
    <r>
      <rPr>
        <vertAlign val="superscript"/>
        <sz val="10"/>
        <color indexed="8"/>
        <rFont val="Calibri"/>
        <family val="2"/>
      </rPr>
      <t>55</t>
    </r>
  </si>
  <si>
    <r>
      <t xml:space="preserve">Contrato de Suministro de Gas Natural    </t>
    </r>
    <r>
      <rPr>
        <vertAlign val="superscript"/>
        <sz val="10"/>
        <color indexed="8"/>
        <rFont val="Calibri"/>
        <family val="2"/>
      </rPr>
      <t xml:space="preserve"> 57</t>
    </r>
  </si>
  <si>
    <r>
      <t xml:space="preserve">Empresa Minera Natividad     </t>
    </r>
    <r>
      <rPr>
        <vertAlign val="superscript"/>
        <sz val="10"/>
        <color indexed="8"/>
        <rFont val="Calibri"/>
        <family val="2"/>
      </rPr>
      <t>58</t>
    </r>
  </si>
  <si>
    <t>Prospectos Mineros (Huarangayoc/Pira y Winicocha)</t>
  </si>
  <si>
    <t>Prospectos Mineros (Mishky/Tinoray, Puy Puy y Yanacollpa)</t>
  </si>
  <si>
    <r>
      <t xml:space="preserve">Proyecto Minero Las Bambas </t>
    </r>
    <r>
      <rPr>
        <vertAlign val="superscript"/>
        <sz val="10"/>
        <color indexed="8"/>
        <rFont val="Calibri"/>
        <family val="2"/>
      </rPr>
      <t xml:space="preserve"> </t>
    </r>
    <r>
      <rPr>
        <sz val="10"/>
        <color indexed="8"/>
        <rFont val="Calibri"/>
        <family val="2"/>
      </rPr>
      <t>(Opción)</t>
    </r>
  </si>
  <si>
    <r>
      <t xml:space="preserve">Proyecto Bayóvar   </t>
    </r>
    <r>
      <rPr>
        <vertAlign val="superscript"/>
        <sz val="10"/>
        <color indexed="8"/>
        <rFont val="Calibri"/>
        <family val="2"/>
      </rPr>
      <t>60</t>
    </r>
  </si>
  <si>
    <t>Acceso a Internet en capitales de distrito del Perú - 1ra Etapa</t>
  </si>
  <si>
    <r>
      <t xml:space="preserve">Proyecto Toromocho   </t>
    </r>
    <r>
      <rPr>
        <vertAlign val="superscript"/>
        <sz val="10"/>
        <color indexed="8"/>
        <rFont val="Calibri"/>
        <family val="2"/>
      </rPr>
      <t>b3</t>
    </r>
  </si>
  <si>
    <r>
      <t xml:space="preserve">Empresa de Generación Eléctrica de Lima (Edegel) </t>
    </r>
    <r>
      <rPr>
        <vertAlign val="superscript"/>
        <sz val="10"/>
        <color indexed="8"/>
        <rFont val="Calibri"/>
        <family val="2"/>
      </rPr>
      <t xml:space="preserve">  e1</t>
    </r>
  </si>
  <si>
    <r>
      <t xml:space="preserve">Inmueble Cuartel San Martín </t>
    </r>
    <r>
      <rPr>
        <vertAlign val="superscript"/>
        <sz val="10"/>
        <color indexed="8"/>
        <rFont val="Calibri"/>
        <family val="2"/>
      </rPr>
      <t>e2</t>
    </r>
  </si>
  <si>
    <r>
      <t>Corpac - Playa Estac Aerop. J. Chavez.</t>
    </r>
    <r>
      <rPr>
        <vertAlign val="superscript"/>
        <sz val="10"/>
        <color indexed="8"/>
        <rFont val="Calibri"/>
        <family val="2"/>
      </rPr>
      <t>a1</t>
    </r>
  </si>
  <si>
    <r>
      <t xml:space="preserve">Corpac - Duty Free </t>
    </r>
    <r>
      <rPr>
        <vertAlign val="superscript"/>
        <sz val="10"/>
        <color indexed="8"/>
        <rFont val="Calibri"/>
        <family val="2"/>
      </rPr>
      <t>a2</t>
    </r>
  </si>
  <si>
    <r>
      <t xml:space="preserve">Entur Perú - Machu Picchu Ruinas </t>
    </r>
    <r>
      <rPr>
        <vertAlign val="superscript"/>
        <sz val="10"/>
        <color indexed="8"/>
        <rFont val="Calibri"/>
        <family val="2"/>
      </rPr>
      <t>a3</t>
    </r>
  </si>
  <si>
    <r>
      <t>San Antonio de Abad</t>
    </r>
    <r>
      <rPr>
        <vertAlign val="superscript"/>
        <sz val="10"/>
        <color indexed="8"/>
        <rFont val="Calibri"/>
        <family val="2"/>
      </rPr>
      <t>a3</t>
    </r>
  </si>
  <si>
    <r>
      <t>Reforzamiento Sistemas Eléctricos Transmisión Sur</t>
    </r>
    <r>
      <rPr>
        <vertAlign val="superscript"/>
        <sz val="10"/>
        <color indexed="8"/>
        <rFont val="Calibri"/>
        <family val="2"/>
      </rPr>
      <t xml:space="preserve"> a7</t>
    </r>
  </si>
  <si>
    <r>
      <t xml:space="preserve">Terminal Portuario de Matarani  </t>
    </r>
    <r>
      <rPr>
        <vertAlign val="superscript"/>
        <sz val="10"/>
        <color indexed="8"/>
        <rFont val="Calibri"/>
        <family val="2"/>
      </rPr>
      <t>a8</t>
    </r>
  </si>
  <si>
    <r>
      <t xml:space="preserve">Sistema Ferroviario (Centro, Sur y Sur Oriente)    </t>
    </r>
    <r>
      <rPr>
        <vertAlign val="superscript"/>
        <sz val="10"/>
        <color indexed="8"/>
        <rFont val="Calibri"/>
        <family val="2"/>
      </rPr>
      <t>a9</t>
    </r>
  </si>
  <si>
    <r>
      <t xml:space="preserve">Proyecto Chillón   </t>
    </r>
    <r>
      <rPr>
        <vertAlign val="superscript"/>
        <sz val="10"/>
        <color indexed="8"/>
        <rFont val="Calibri"/>
        <family val="2"/>
      </rPr>
      <t>a10</t>
    </r>
  </si>
  <si>
    <r>
      <t xml:space="preserve">Servicio de Comunicaciones Personales - PCS </t>
    </r>
    <r>
      <rPr>
        <vertAlign val="superscript"/>
        <sz val="10"/>
        <color indexed="8"/>
        <rFont val="Calibri"/>
        <family val="2"/>
      </rPr>
      <t xml:space="preserve"> a12</t>
    </r>
  </si>
  <si>
    <r>
      <t xml:space="preserve">Servicio Telefonía Local y Serv.Portador Local  </t>
    </r>
    <r>
      <rPr>
        <vertAlign val="superscript"/>
        <sz val="10"/>
        <color indexed="8"/>
        <rFont val="Calibri"/>
        <family val="2"/>
      </rPr>
      <t>a13</t>
    </r>
  </si>
  <si>
    <r>
      <t xml:space="preserve">Servicio Telefonía Local y Serv.Portador Local  </t>
    </r>
    <r>
      <rPr>
        <vertAlign val="superscript"/>
        <sz val="10"/>
        <color indexed="8"/>
        <rFont val="Calibri"/>
        <family val="2"/>
      </rPr>
      <t>a14</t>
    </r>
  </si>
  <si>
    <r>
      <t xml:space="preserve">Proyecto de Camisea - Transporte y Distribución  </t>
    </r>
    <r>
      <rPr>
        <vertAlign val="superscript"/>
        <sz val="10"/>
        <color indexed="8"/>
        <rFont val="Calibri"/>
        <family val="2"/>
      </rPr>
      <t>a15</t>
    </r>
  </si>
  <si>
    <r>
      <t xml:space="preserve">Aeropuerto Internacional Jorge Chávez  </t>
    </r>
    <r>
      <rPr>
        <vertAlign val="superscript"/>
        <sz val="10"/>
        <color indexed="8"/>
        <rFont val="Calibri"/>
        <family val="2"/>
      </rPr>
      <t xml:space="preserve"> a16</t>
    </r>
  </si>
  <si>
    <r>
      <t xml:space="preserve">Red vial Nº 5: Tramo Ancón-Huacho-Pativilca  </t>
    </r>
    <r>
      <rPr>
        <vertAlign val="superscript"/>
        <sz val="10"/>
        <color indexed="8"/>
        <rFont val="Calibri"/>
        <family val="2"/>
      </rPr>
      <t>a17</t>
    </r>
  </si>
  <si>
    <r>
      <t xml:space="preserve">ETECEN - ETESUR    </t>
    </r>
    <r>
      <rPr>
        <vertAlign val="superscript"/>
        <sz val="10"/>
        <color indexed="8"/>
        <rFont val="Calibri"/>
        <family val="2"/>
      </rPr>
      <t>a19</t>
    </r>
  </si>
  <si>
    <r>
      <t xml:space="preserve">Centro Ecológico Recreacional de Huachipa   </t>
    </r>
    <r>
      <rPr>
        <vertAlign val="superscript"/>
        <sz val="10"/>
        <color indexed="8"/>
        <rFont val="Calibri"/>
        <family val="2"/>
      </rPr>
      <t>a18</t>
    </r>
  </si>
  <si>
    <r>
      <t xml:space="preserve">Proyecto Olmos  </t>
    </r>
    <r>
      <rPr>
        <vertAlign val="superscript"/>
        <sz val="10"/>
        <color indexed="8"/>
        <rFont val="Calibri"/>
        <family val="2"/>
      </rPr>
      <t>a20</t>
    </r>
  </si>
  <si>
    <r>
      <t xml:space="preserve">Red vial Nº 6: Tramo Puente Pucusana-Cerro Azul-Chinca-Pisco-Ica </t>
    </r>
    <r>
      <rPr>
        <vertAlign val="superscript"/>
        <sz val="10"/>
        <color indexed="8"/>
        <rFont val="Calibri"/>
        <family val="2"/>
      </rPr>
      <t>a21</t>
    </r>
  </si>
  <si>
    <r>
      <t xml:space="preserve">Servicios de Agua y Desagûe de Tumbes </t>
    </r>
    <r>
      <rPr>
        <vertAlign val="superscript"/>
        <sz val="10"/>
        <color indexed="8"/>
        <rFont val="Calibri"/>
        <family val="2"/>
      </rPr>
      <t xml:space="preserve"> a22</t>
    </r>
  </si>
  <si>
    <r>
      <t xml:space="preserve">Telefonía Fija Local y Portador Local </t>
    </r>
    <r>
      <rPr>
        <vertAlign val="superscript"/>
        <sz val="10"/>
        <color indexed="8"/>
        <rFont val="Calibri"/>
        <family val="2"/>
      </rPr>
      <t>a27</t>
    </r>
  </si>
  <si>
    <r>
      <t xml:space="preserve">Terminal Portuario del Callao Nuevo Terminal de Contenedores – Muelle Sur    </t>
    </r>
    <r>
      <rPr>
        <vertAlign val="superscript"/>
        <sz val="10"/>
        <color indexed="8"/>
        <rFont val="Calibri"/>
        <family val="2"/>
      </rPr>
      <t>a23</t>
    </r>
  </si>
  <si>
    <t>Concesión de la Banda WiMax (2 668-2 692 MHz y 2 668-2 690 MHz )</t>
  </si>
  <si>
    <r>
      <t xml:space="preserve">Proyecto Bayóvar (Salmueras) </t>
    </r>
    <r>
      <rPr>
        <vertAlign val="superscript"/>
        <sz val="10"/>
        <color indexed="8"/>
        <rFont val="Calibri"/>
        <family val="2"/>
      </rPr>
      <t>b7</t>
    </r>
  </si>
  <si>
    <r>
      <t xml:space="preserve">Minero Perú - Cañariaco/Jehuamarca </t>
    </r>
    <r>
      <rPr>
        <vertAlign val="superscript"/>
        <sz val="10"/>
        <color indexed="8"/>
        <rFont val="Calibri"/>
        <family val="2"/>
      </rPr>
      <t xml:space="preserve">  b1</t>
    </r>
  </si>
  <si>
    <r>
      <t xml:space="preserve">Minero Perú - Huatalán/Colpar/ Pallacochas  </t>
    </r>
    <r>
      <rPr>
        <vertAlign val="superscript"/>
        <sz val="10"/>
        <color indexed="8"/>
        <rFont val="Calibri"/>
        <family val="2"/>
      </rPr>
      <t>b1</t>
    </r>
  </si>
  <si>
    <r>
      <t xml:space="preserve">Minero Perú - Mishki </t>
    </r>
    <r>
      <rPr>
        <vertAlign val="superscript"/>
        <sz val="10"/>
        <color indexed="8"/>
        <rFont val="Calibri"/>
        <family val="2"/>
      </rPr>
      <t xml:space="preserve"> b1</t>
    </r>
  </si>
  <si>
    <r>
      <t xml:space="preserve">Complejo Agroindustrial CHAO  </t>
    </r>
    <r>
      <rPr>
        <vertAlign val="superscript"/>
        <sz val="10"/>
        <color indexed="8"/>
        <rFont val="Calibri"/>
        <family val="2"/>
      </rPr>
      <t>b4</t>
    </r>
  </si>
  <si>
    <r>
      <t xml:space="preserve">Minero Perú - San Antonio de Poto   </t>
    </r>
    <r>
      <rPr>
        <vertAlign val="superscript"/>
        <sz val="10"/>
        <color indexed="8"/>
        <rFont val="Calibri"/>
        <family val="2"/>
      </rPr>
      <t>b1</t>
    </r>
  </si>
  <si>
    <r>
      <t xml:space="preserve">Centromín - Prospecto Minero Quicay </t>
    </r>
    <r>
      <rPr>
        <vertAlign val="superscript"/>
        <sz val="10"/>
        <color indexed="8"/>
        <rFont val="Calibri"/>
        <family val="2"/>
      </rPr>
      <t>b1</t>
    </r>
  </si>
  <si>
    <r>
      <t xml:space="preserve">Centromín - Unidad Minera Yauricocha </t>
    </r>
    <r>
      <rPr>
        <vertAlign val="superscript"/>
        <sz val="10"/>
        <color indexed="8"/>
        <rFont val="Calibri"/>
        <family val="2"/>
      </rPr>
      <t>b1</t>
    </r>
  </si>
  <si>
    <r>
      <t>Centromín - Prospecto Aurífero Jaqui</t>
    </r>
    <r>
      <rPr>
        <vertAlign val="superscript"/>
        <sz val="10"/>
        <color indexed="8"/>
        <rFont val="Calibri"/>
        <family val="2"/>
      </rPr>
      <t xml:space="preserve"> b1</t>
    </r>
  </si>
  <si>
    <r>
      <t>Centromín - Prospecto Aurífero Jarahuali</t>
    </r>
    <r>
      <rPr>
        <vertAlign val="superscript"/>
        <sz val="10"/>
        <color indexed="8"/>
        <rFont val="Calibri"/>
        <family val="2"/>
      </rPr>
      <t xml:space="preserve"> b1</t>
    </r>
  </si>
  <si>
    <r>
      <t>Centromín - Prospecto Aurífero Huarangayoc/Pira</t>
    </r>
    <r>
      <rPr>
        <vertAlign val="superscript"/>
        <sz val="10"/>
        <color indexed="8"/>
        <rFont val="Calibri"/>
        <family val="2"/>
      </rPr>
      <t xml:space="preserve">  b1</t>
    </r>
  </si>
  <si>
    <r>
      <t>Centromín - Prospecto Aurífero Ingenio</t>
    </r>
    <r>
      <rPr>
        <vertAlign val="superscript"/>
        <sz val="10"/>
        <color indexed="8"/>
        <rFont val="Calibri"/>
        <family val="2"/>
      </rPr>
      <t xml:space="preserve"> b1</t>
    </r>
  </si>
  <si>
    <r>
      <t xml:space="preserve">Centromín - Prospecto Polimetálico Puquio </t>
    </r>
    <r>
      <rPr>
        <vertAlign val="superscript"/>
        <sz val="10"/>
        <color indexed="8"/>
        <rFont val="Calibri"/>
        <family val="2"/>
      </rPr>
      <t>b1</t>
    </r>
  </si>
  <si>
    <r>
      <t xml:space="preserve">Centromín - Prospecto Polimetálico Yauyurco/Casca </t>
    </r>
    <r>
      <rPr>
        <vertAlign val="superscript"/>
        <sz val="10"/>
        <color indexed="8"/>
        <rFont val="Calibri"/>
        <family val="2"/>
      </rPr>
      <t xml:space="preserve"> b1</t>
    </r>
  </si>
  <si>
    <r>
      <t xml:space="preserve">Minero Perú - Prospecto Cañariaco  </t>
    </r>
    <r>
      <rPr>
        <vertAlign val="superscript"/>
        <sz val="10"/>
        <color indexed="8"/>
        <rFont val="Calibri"/>
        <family val="2"/>
      </rPr>
      <t>b1</t>
    </r>
  </si>
  <si>
    <r>
      <t xml:space="preserve">Centromín - Prospecto Polimetálico Las Orquideas </t>
    </r>
    <r>
      <rPr>
        <vertAlign val="superscript"/>
        <sz val="10"/>
        <color indexed="8"/>
        <rFont val="Calibri"/>
        <family val="2"/>
      </rPr>
      <t>b1</t>
    </r>
  </si>
  <si>
    <r>
      <t xml:space="preserve">Minero Perú - Prospecto Pallacocha  </t>
    </r>
    <r>
      <rPr>
        <vertAlign val="superscript"/>
        <sz val="10"/>
        <color indexed="8"/>
        <rFont val="Calibri"/>
        <family val="2"/>
      </rPr>
      <t>b1</t>
    </r>
  </si>
  <si>
    <r>
      <t xml:space="preserve">Minero Perú - Prospecto Hualatán </t>
    </r>
    <r>
      <rPr>
        <vertAlign val="superscript"/>
        <sz val="10"/>
        <color indexed="8"/>
        <rFont val="Calibri"/>
        <family val="2"/>
      </rPr>
      <t>b1</t>
    </r>
  </si>
  <si>
    <r>
      <t xml:space="preserve">Minero Perú - La Granja  </t>
    </r>
    <r>
      <rPr>
        <vertAlign val="superscript"/>
        <sz val="10"/>
        <color indexed="8"/>
        <rFont val="Calibri"/>
        <family val="2"/>
      </rPr>
      <t xml:space="preserve">b5   </t>
    </r>
  </si>
  <si>
    <r>
      <t xml:space="preserve">Minero Perú - Prospecto Jehuamarca  </t>
    </r>
    <r>
      <rPr>
        <vertAlign val="superscript"/>
        <sz val="10"/>
        <color indexed="8"/>
        <rFont val="Calibri"/>
        <family val="2"/>
      </rPr>
      <t>b1</t>
    </r>
  </si>
  <si>
    <r>
      <t xml:space="preserve">Minero Perú - Prospecto Mishki Tinoray </t>
    </r>
    <r>
      <rPr>
        <vertAlign val="superscript"/>
        <sz val="10"/>
        <color indexed="8"/>
        <rFont val="Calibri"/>
        <family val="2"/>
      </rPr>
      <t>b1</t>
    </r>
  </si>
  <si>
    <r>
      <t xml:space="preserve">Fábrica de Tubos de Vitro Resina  </t>
    </r>
    <r>
      <rPr>
        <vertAlign val="superscript"/>
        <sz val="10"/>
        <color indexed="8"/>
        <rFont val="Calibri"/>
        <family val="2"/>
      </rPr>
      <t xml:space="preserve"> b2</t>
    </r>
  </si>
  <si>
    <r>
      <t xml:space="preserve">CPT - Capital adicional </t>
    </r>
    <r>
      <rPr>
        <vertAlign val="superscript"/>
        <sz val="10"/>
        <color indexed="8"/>
        <rFont val="Calibri"/>
        <family val="2"/>
      </rPr>
      <t>d1</t>
    </r>
  </si>
  <si>
    <r>
      <t xml:space="preserve">Etevensa  </t>
    </r>
    <r>
      <rPr>
        <vertAlign val="superscript"/>
        <sz val="10"/>
        <color indexed="8"/>
        <rFont val="Calibri"/>
        <family val="2"/>
      </rPr>
      <t>d2</t>
    </r>
  </si>
  <si>
    <r>
      <t xml:space="preserve">Empresa Eléctrica de Piura - EEP </t>
    </r>
    <r>
      <rPr>
        <vertAlign val="superscript"/>
        <sz val="10"/>
        <color indexed="8"/>
        <rFont val="Calibri"/>
        <family val="2"/>
      </rPr>
      <t>d3</t>
    </r>
  </si>
  <si>
    <r>
      <t xml:space="preserve">Empresa Metalúrgica de la Oroya S.A. </t>
    </r>
    <r>
      <rPr>
        <vertAlign val="superscript"/>
        <sz val="10"/>
        <color indexed="8"/>
        <rFont val="Calibri"/>
        <family val="2"/>
      </rPr>
      <t>d4</t>
    </r>
  </si>
  <si>
    <r>
      <t xml:space="preserve">Servicio de Banda Ancha Rural (Proyectos Centro, Centro Norte y Nor Oriente) </t>
    </r>
    <r>
      <rPr>
        <vertAlign val="superscript"/>
        <sz val="10"/>
        <color indexed="8"/>
        <rFont val="Calibri"/>
        <family val="2"/>
      </rPr>
      <t>a27</t>
    </r>
  </si>
  <si>
    <r>
      <t xml:space="preserve">Programa Internet Rural  </t>
    </r>
    <r>
      <rPr>
        <vertAlign val="superscript"/>
        <sz val="10"/>
        <color indexed="8"/>
        <rFont val="Calibri"/>
        <family val="2"/>
      </rPr>
      <t xml:space="preserve"> a27</t>
    </r>
  </si>
  <si>
    <r>
      <t xml:space="preserve">Programa Banda Ancha para localidades Aisladas – BAS </t>
    </r>
    <r>
      <rPr>
        <vertAlign val="superscript"/>
        <sz val="10"/>
        <color indexed="8"/>
        <rFont val="Calibri"/>
        <family val="2"/>
      </rPr>
      <t>a27</t>
    </r>
  </si>
  <si>
    <r>
      <t xml:space="preserve">Servicio de Banda Ancha Rural San Gabán – Puerto Maldonado y Servicio de Banda Ancha Rural Juliaca - San Gabán. </t>
    </r>
    <r>
      <rPr>
        <vertAlign val="superscript"/>
        <sz val="10"/>
        <color indexed="8"/>
        <rFont val="Calibri"/>
        <family val="2"/>
      </rPr>
      <t>A26 a27</t>
    </r>
  </si>
  <si>
    <r>
      <t xml:space="preserve">Implementación de Servicios Integrados de 
Telecomunicaciones Buenos Aires - Canchaque </t>
    </r>
    <r>
      <rPr>
        <vertAlign val="superscript"/>
        <sz val="10"/>
        <color indexed="8"/>
        <rFont val="Calibri"/>
        <family val="2"/>
      </rPr>
      <t>a27</t>
    </r>
  </si>
  <si>
    <r>
      <t xml:space="preserve">Integración de las Áreas Rurales y lugares de Preferente Interés Social a la Red del Servicio Móvil - Centro Sur </t>
    </r>
    <r>
      <rPr>
        <vertAlign val="superscript"/>
        <sz val="10"/>
        <color indexed="8"/>
        <rFont val="Calibri"/>
        <family val="2"/>
      </rPr>
      <t>a27</t>
    </r>
  </si>
  <si>
    <r>
      <t>Integración de las Áreas Rurales y lugares de Preferente Interés Social a la Red del Servicio Móvil - Centro Norte</t>
    </r>
    <r>
      <rPr>
        <vertAlign val="superscript"/>
        <sz val="10"/>
        <color indexed="8"/>
        <rFont val="Calibri"/>
        <family val="2"/>
      </rPr>
      <t xml:space="preserve"> a27</t>
    </r>
  </si>
  <si>
    <r>
      <t xml:space="preserve">Integración de las Áreas Rurales y lugares de Preferente Interés Social a la Red del Servicio Móvil - Selva </t>
    </r>
    <r>
      <rPr>
        <vertAlign val="superscript"/>
        <sz val="10"/>
        <color indexed="8"/>
        <rFont val="Calibri"/>
        <family val="2"/>
      </rPr>
      <t>a27</t>
    </r>
  </si>
  <si>
    <r>
      <t xml:space="preserve">Banda Ancha para el Desarrollo del Valle de los Ríos Apurimac y Ene - VRAE y Banda Ancha para el Desarrollo de las Comunidades de Camisea (Camisea - Lurín) </t>
    </r>
    <r>
      <rPr>
        <vertAlign val="superscript"/>
        <sz val="10"/>
        <color indexed="8"/>
        <rFont val="Calibri"/>
        <family val="2"/>
      </rPr>
      <t>a27</t>
    </r>
  </si>
  <si>
    <r>
      <t xml:space="preserve">Tecnologías de la información y Comunicaciones para el Desarrollo Integral de las Comunidades de Candarave. </t>
    </r>
    <r>
      <rPr>
        <vertAlign val="superscript"/>
        <sz val="10"/>
        <color indexed="8"/>
        <rFont val="Calibri"/>
        <family val="2"/>
      </rPr>
      <t>a27</t>
    </r>
  </si>
  <si>
    <r>
      <t xml:space="preserve">Central Hidroeléctrica de Yuncán  </t>
    </r>
    <r>
      <rPr>
        <vertAlign val="superscript"/>
        <sz val="10"/>
        <color indexed="8"/>
        <rFont val="Calibri"/>
        <family val="2"/>
      </rPr>
      <t>59</t>
    </r>
  </si>
  <si>
    <t xml:space="preserve">TRANSACCIONES </t>
  </si>
  <si>
    <t>Incluye:  al Contado  US$ 20.2 MM, Diferido  US$140.9 MM y Papeles de deuda US$25.1MM</t>
  </si>
  <si>
    <t>INVERSIÓN PROYECTADA</t>
  </si>
  <si>
    <t>Provisión de Servicios de Saneamiento para los Distritos del Sur de Lima</t>
  </si>
  <si>
    <t>17.12.13</t>
  </si>
  <si>
    <t>18.12.13</t>
  </si>
  <si>
    <t>Proyecto Chavimochic - Tercera etapa</t>
  </si>
  <si>
    <t>irrigación</t>
  </si>
  <si>
    <t>19.12.13</t>
  </si>
  <si>
    <t>Longitudinal de la Sierra Tramo 2: Ciudad de Dios-Cajamarca-Chipe, Cajamarca-Trujillo y Dv. Chilete-Empalme PE-3N.</t>
  </si>
  <si>
    <t>Red Dorsal Nacional de Fibra Óptica: Cobertura Universal Norte, Conbertura Universal Sur y Cobertura Universal Centro</t>
  </si>
  <si>
    <t>23.12.13</t>
  </si>
  <si>
    <r>
      <t>Planta de Tratamiento de aguas residuales y emisor submarino "La Chira"</t>
    </r>
    <r>
      <rPr>
        <vertAlign val="superscript"/>
        <sz val="10"/>
        <color indexed="8"/>
        <rFont val="Calibri"/>
        <family val="2"/>
      </rPr>
      <t>a28</t>
    </r>
  </si>
  <si>
    <r>
      <t>Planta de Tratamiento de Aguas Residuales “Taboada”</t>
    </r>
    <r>
      <rPr>
        <vertAlign val="superscript"/>
        <sz val="10"/>
        <color indexed="8"/>
        <rFont val="Calibri"/>
        <family val="2"/>
      </rPr>
      <t>a28</t>
    </r>
  </si>
  <si>
    <t>a28</t>
  </si>
  <si>
    <t>Concurso derivado de una iniciativa privada.</t>
  </si>
  <si>
    <t>Nodo Energético en el Sur del Perú</t>
  </si>
  <si>
    <t>29.11.13</t>
  </si>
  <si>
    <t>28.03.14</t>
  </si>
  <si>
    <t>Línea 2 y Ramal Av. Faucett - Av. Gambetta de la Red  Básica del Metro de Lima y Callao</t>
  </si>
  <si>
    <t>(c18)</t>
  </si>
  <si>
    <t>25.04.14</t>
  </si>
  <si>
    <t>30.04.14</t>
  </si>
  <si>
    <t>(c19)</t>
  </si>
  <si>
    <t>(c20)</t>
  </si>
  <si>
    <t>Aeropuerto Internacional Chinchero - Cusco</t>
  </si>
  <si>
    <t>Terminal Portuario General San Martín - Pisco</t>
  </si>
  <si>
    <t>El monto de inversión estimado corrresponde a inversión obligatoria.
Adicionalmente existe monto de inversión adicional gatillada (US$ 119.91 millones sin IGV) comprende la implementación de infraestructura y equipamiento durante dos fases adicionales de la etapa de operación según volumen de pasajeros anuales atendidos, estas son: i) Fase 1: que incrementa la capacidad del aeropuerto para atender una demanda de 5 millones de pasajeros anuales; ii) Fase 2: que incrementa la capacidad del aeropuerto para atender una demanda de 5.7 millones de pasajeros anuales.</t>
  </si>
  <si>
    <t>El monto de inversión estimado corrresponde a inversión obligatoria.
Adicionalmente existe monto de inversión adicional gatillada (US$ 53.60 millones sin IGV)) comprende la ejecución de obras durante el periodo de operación en tres etapas adicionales (Etapas 2, 3 y 4) en función a la carga manejada. Se ejecuta la Etapa 2 cuando la carga alcanza los 2.5 millones TM/año; la Etapa 3 cuando se alcanza los 60 mil TEUs/año; y, la Etapa 4 cuando se alcanza los 225 mil TM/año de granos limpios.</t>
  </si>
  <si>
    <t>El monto de inversión estimado corrresponde a inversión obligatoria.
Adicionalmente existe monto de inversión adicional gatillada (US$ 673.53 millones sin IGV) comprende la adquisición de material rodante cuando en hora punta se alcancen las capacidades de carga máxima definidas en el contrato de concesión correspondientes a la Tercera Etapa del Proyecto.</t>
  </si>
  <si>
    <t>26.05.14</t>
  </si>
  <si>
    <t>26.06.14</t>
  </si>
  <si>
    <t>Subasta Pública de Tierras de Uso No Agrícola del Proyecto Chavimochic: Inmuebles 2, 3, 4 y 9</t>
  </si>
  <si>
    <t>Inmueble Nº 04 California</t>
  </si>
  <si>
    <t>Línea de Transmisión 220 kV La Planicie - Industriales y Subestaciones Asociadas</t>
  </si>
  <si>
    <t>Sistema de Telecabinas de Kuélap</t>
  </si>
  <si>
    <t>Línea de Transmisión 220 kV Moyobamba - Iquitos y Subestaciones Asociadas</t>
  </si>
  <si>
    <t>30.05.14</t>
  </si>
  <si>
    <t>29.05.14</t>
  </si>
  <si>
    <t>05.06.14</t>
  </si>
  <si>
    <t>30.06.14</t>
  </si>
  <si>
    <t>Penitenciarios</t>
  </si>
  <si>
    <t>25.07.14</t>
  </si>
  <si>
    <t>Salud</t>
  </si>
  <si>
    <r>
      <t xml:space="preserve">Prestación de Servicios de Seguridad Tecnológica en las Prisiones </t>
    </r>
    <r>
      <rPr>
        <vertAlign val="superscript"/>
        <sz val="10"/>
        <color indexed="8"/>
        <rFont val="Calibri"/>
        <family val="2"/>
      </rPr>
      <t>a28</t>
    </r>
  </si>
  <si>
    <t>a29</t>
  </si>
  <si>
    <t>Contrato de Gerencia, no hay monto de inversión.</t>
  </si>
  <si>
    <r>
      <t xml:space="preserve">Integración Amazónica Loreto - San Martín a la Red Terrestre de Telecomunicaciones </t>
    </r>
    <r>
      <rPr>
        <vertAlign val="superscript"/>
        <sz val="10"/>
        <color indexed="8"/>
        <rFont val="Calibri"/>
        <family val="2"/>
      </rPr>
      <t>a29</t>
    </r>
  </si>
  <si>
    <t>a30</t>
  </si>
  <si>
    <t>Monto incluye inversión y operación y mantenimiento.</t>
  </si>
  <si>
    <r>
      <t xml:space="preserve">Gestión del Instituto Nacional de Salud del Niño - San Borja </t>
    </r>
    <r>
      <rPr>
        <vertAlign val="superscript"/>
        <sz val="10"/>
        <color indexed="8"/>
        <rFont val="Calibri"/>
        <family val="2"/>
      </rPr>
      <t>a30</t>
    </r>
  </si>
  <si>
    <t>07.08.14</t>
  </si>
  <si>
    <t>Línea de Transmisión 220 kV Friaspata – Mollepata y Subestación Orcotuna 220/60 Kv</t>
  </si>
  <si>
    <t>TOTAL 2014</t>
  </si>
  <si>
    <t>Línea de Transmisión Azángaro – Juliaca – Puno 220 kV</t>
  </si>
  <si>
    <t>12.02.15</t>
  </si>
  <si>
    <t>05.03.15</t>
  </si>
  <si>
    <t>Instalación de Banda Ancha para la Conectividad Integral y Desarrollo Social de la Región Huancavelica</t>
  </si>
  <si>
    <t>Instalación de Banda Ancha para la Conectividad Integral y Desarrollo Social de la Región Ayacucho</t>
  </si>
  <si>
    <t>Instalación de Banda Ancha para la Conectividad Integral y Desarrollo Social de la Región Apurímac</t>
  </si>
  <si>
    <t>Instalación de Banda Ancha para la Conectividad Integral y Desarrollo Social de la Zona Norte del País - Región Lambayeque</t>
  </si>
  <si>
    <t>22.07.15</t>
  </si>
  <si>
    <t>Primera Etapa de la Subestación Carapongo y Enlaces de Conexión a Líneas Asociadas</t>
  </si>
  <si>
    <t>Línea de Transmisión 220 kV Montalvo - Los Héroes y Subestaciones Asociadas</t>
  </si>
  <si>
    <t>16.12.15</t>
  </si>
  <si>
    <t>Instalación de Banda Ancha para la Conectividad Integral y Desarrollo Social de las Regiones Tumbes, Piura, Cajamarca y Cusco</t>
  </si>
  <si>
    <t>a31</t>
  </si>
  <si>
    <t>Mediante  Acuerdo PROINVERSIÓN Nº 710-5-2015-CPD, se acordó dejar sin efecto el Acuerdo PROINVERSIÓN Nº 664-2-2015-CPD, por el cual se aprobó la adjudicación directa del proyecto contenido en la Iniciativa Privada de Infraestructura Penitenciaria y Renovación Urbana "Proyecto Tinkuy Plaza", a favor del Consorcio Promotor San Jorge, por el incumplimiento de dicho Consorcio en la acreditación de los requisitos para la firma del contrato.</t>
  </si>
  <si>
    <t>Central Hidroeléctrica San Gabán III</t>
  </si>
  <si>
    <t>22.03.16</t>
  </si>
  <si>
    <t>26.05.16</t>
  </si>
  <si>
    <t>Concesiones Únicas para la Prestación de Servicios Públicos de Telecomunicaciones y Asignación de Tres Bloques de la Banda 698-806 MHz a nivel nacional</t>
  </si>
  <si>
    <t>TOTAL 1999</t>
  </si>
  <si>
    <t>TOTAL 2001</t>
  </si>
  <si>
    <t>TOTAL 2004</t>
  </si>
  <si>
    <t>TOTAL 2015</t>
  </si>
  <si>
    <t>TOTAL 2016</t>
  </si>
  <si>
    <r>
      <t xml:space="preserve">Iniciativa Privada Infraestructura Penitenciaria y Renovación Urbana "Proyecto Tinkuy Plaza" </t>
    </r>
    <r>
      <rPr>
        <vertAlign val="superscript"/>
        <sz val="10"/>
        <color indexed="8"/>
        <rFont val="Calibri"/>
        <family val="2"/>
      </rPr>
      <t>a31</t>
    </r>
  </si>
  <si>
    <r>
      <t xml:space="preserve">Mejoras a la Seguridad Energética del País y Desarrollo del Gaseoducto Sur Peruano </t>
    </r>
    <r>
      <rPr>
        <vertAlign val="superscript"/>
        <sz val="10"/>
        <color indexed="8"/>
        <rFont val="Calibri"/>
        <family val="2"/>
      </rPr>
      <t>a33</t>
    </r>
  </si>
  <si>
    <r>
      <t xml:space="preserve">Vigilancia Electrónica Personal (Grilletes Electrónicos) </t>
    </r>
    <r>
      <rPr>
        <vertAlign val="superscript"/>
        <sz val="10"/>
        <color indexed="8"/>
        <rFont val="Calibri"/>
        <family val="2"/>
      </rPr>
      <t>a32</t>
    </r>
  </si>
  <si>
    <t>Mediante  Acuerdo PROINVERSIÓN Nº 745-3-2017-CPD (sesión del Consejo Directivo de fecha 07 de febrero de 2017), se acordó dejar sin efecto el Acuerdo PROINVERSIÓN Nº 712-1-2016-CPD, por el cual se aprobó la adjudicación directa del Proyecto contenido en la Iniciativa Privada “Vigilancia Electrónica Personal (Grilletes Electrónicos)”, a favor del Consorcio Global Seguridad, en atención a lo solicitado por el Ministerio de Justicia y Derechos Humanos, mediante Oficio Nº 823-2016-JUS/DM y consecuentemente, declarar concluida la tramitación de la referida iniciativa.</t>
  </si>
  <si>
    <t>a32</t>
  </si>
  <si>
    <t>a33</t>
  </si>
  <si>
    <t>Mediante Resolución Suprema Nº 004-2017-EM, publicada el 15 de febrero de 2017, se declaró que la Terminación de la Concesión del Proyecto se produjo el 24 de enero de 2017 al no haber acreditado el Concesionario el cumplimiento del Cierre Financiero dentro del plazo contractual establecido, de conformidad con lo dispuesto en el numeral 6.7 de la Cláusula Sexta del Contrato de Concesión.</t>
  </si>
  <si>
    <t>19.05.2017</t>
  </si>
  <si>
    <t>Línea de Transmisión Aguaytía-Pucallpa (Segundo Circuito)</t>
  </si>
  <si>
    <t>TOTAL 2017</t>
  </si>
  <si>
    <t>06.07.2017</t>
  </si>
  <si>
    <t>Hidrovía Amazónica (Segunda Convocatoria)</t>
  </si>
  <si>
    <t>Enlace 500 kV Mantaro-Nueva Yanango-Carapongo y Subestaciones Asociadas y Enlace 500 kV Nueva Yanango-Nueva Huanuco y Subestaciones Asociadas</t>
  </si>
  <si>
    <t>Línea de Transmisión 220 kV Tintaya - Azángaro</t>
  </si>
  <si>
    <t>Licitación Pública de los Proyectos “Instalación de Banda Ancha para la Conectividad Integral y Desarrollo Social de las Regiones: Amazonas, Ica y Lima”</t>
  </si>
  <si>
    <t>Licitación Pública de los Proyectos “Instalación de Banda Ancha para la Conectividad Integral y Desarrollo Social de la Regiones: Junín, Puno, Moquegua y Tacna"</t>
  </si>
  <si>
    <t>30.10.2017</t>
  </si>
  <si>
    <t>30.11.2017</t>
  </si>
  <si>
    <t>18.12.2017</t>
  </si>
  <si>
    <t>(c21)</t>
  </si>
  <si>
    <t>Por operación y mantenimiento: US$ 15 millones.</t>
  </si>
  <si>
    <t>(c22)</t>
  </si>
  <si>
    <t>(c23)</t>
  </si>
  <si>
    <t>3.2. REPORTE DE PROYECTOS - TODAS LAS MODALIDADES A DICIEMBRE 2017</t>
  </si>
  <si>
    <r>
      <rPr>
        <b/>
        <sz val="10"/>
        <rFont val="Calibri"/>
        <family val="2"/>
      </rPr>
      <t xml:space="preserve">Fuente y elaboración: </t>
    </r>
    <r>
      <rPr>
        <sz val="10"/>
        <rFont val="Calibri"/>
        <family val="2"/>
      </rPr>
      <t>Dirección de Portafolio de Proyectos - PROINVERSIÓN</t>
    </r>
  </si>
  <si>
    <r>
      <t>El monto adjudicado en los proyecto de banda ancha corresponden al financiamiento no reembolsable el cual no está afecto a IGV. Incluye Inversión y Operación y Mantenimiento</t>
    </r>
    <r>
      <rPr>
        <b/>
        <sz val="10"/>
        <rFont val="Calibri"/>
        <family val="2"/>
      </rPr>
      <t>: Proyecto Amazonas</t>
    </r>
    <r>
      <rPr>
        <sz val="10"/>
        <rFont val="Calibri"/>
        <family val="2"/>
      </rPr>
      <t xml:space="preserve">: US$ 104´555,275.37; </t>
    </r>
    <r>
      <rPr>
        <b/>
        <sz val="10"/>
        <rFont val="Calibri"/>
        <family val="2"/>
      </rPr>
      <t>Proyecto Ica</t>
    </r>
    <r>
      <rPr>
        <sz val="10"/>
        <rFont val="Calibri"/>
        <family val="2"/>
      </rPr>
      <t xml:space="preserve">: US$ 46´030,252.10; </t>
    </r>
    <r>
      <rPr>
        <b/>
        <sz val="10"/>
        <rFont val="Calibri"/>
        <family val="2"/>
      </rPr>
      <t>Proyecto Lima</t>
    </r>
    <r>
      <rPr>
        <sz val="10"/>
        <rFont val="Calibri"/>
        <family val="2"/>
      </rPr>
      <t>: US$ 96´789,533.15</t>
    </r>
  </si>
  <si>
    <r>
      <t>El monto adjudicado en los proyecto de banda ancha corresponden al financiamiento no reembolsable el cual no está afecto a IGV. Incluye Inversión y Operación y Mantenimiento:</t>
    </r>
    <r>
      <rPr>
        <b/>
        <sz val="10"/>
        <rFont val="Calibri"/>
        <family val="2"/>
      </rPr>
      <t xml:space="preserve"> Proyecto Junín</t>
    </r>
    <r>
      <rPr>
        <sz val="10"/>
        <rFont val="Calibri"/>
        <family val="2"/>
      </rPr>
      <t xml:space="preserve">: US$ 105´392,054.33; </t>
    </r>
    <r>
      <rPr>
        <b/>
        <sz val="10"/>
        <rFont val="Calibri"/>
        <family val="2"/>
      </rPr>
      <t>Proyecto Puno</t>
    </r>
    <r>
      <rPr>
        <sz val="10"/>
        <rFont val="Calibri"/>
        <family val="2"/>
      </rPr>
      <t xml:space="preserve">: US$ 131´007,824.67;  </t>
    </r>
    <r>
      <rPr>
        <b/>
        <sz val="10"/>
        <rFont val="Calibri"/>
        <family val="2"/>
      </rPr>
      <t>Proyecto Moquegua-Tacna</t>
    </r>
    <r>
      <rPr>
        <sz val="10"/>
        <rFont val="Calibri"/>
        <family val="2"/>
      </rPr>
      <t>: US$ 54´445,840.12</t>
    </r>
  </si>
  <si>
    <t>N/A</t>
  </si>
</sst>
</file>

<file path=xl/styles.xml><?xml version="1.0" encoding="utf-8"?>
<styleSheet xmlns="http://schemas.openxmlformats.org/spreadsheetml/2006/main">
  <numFmts count="25">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0_);_(* \(#,##0.00\);_(* &quot;-&quot;??_);_(@_)"/>
    <numFmt numFmtId="174" formatCode="_(&quot;$&quot;* #,##0.00_);_(&quot;$&quot;* \(#,##0.00\);_(&quot;$&quot;* &quot;-&quot;??_);_(@_)"/>
    <numFmt numFmtId="175" formatCode="_(* #,##0_);_(* \(#,##0\);_(* &quot;-&quot;??_);_(@_)"/>
    <numFmt numFmtId="176" formatCode="_(* #,##0.00_);_(* \(#,##0.00\);_(* &quot;-&quot;_);_(@_)"/>
    <numFmt numFmtId="177" formatCode="0.0000%"/>
    <numFmt numFmtId="178" formatCode="_(* #,##0.0000_);_(* \(#,##0.0000\);_(* &quot;-&quot;??_);_(@_)"/>
    <numFmt numFmtId="179" formatCode="_(* #,##0.0_);_(* \(#,##0.0\);_(* &quot;-&quot;_);_(@_)"/>
    <numFmt numFmtId="180" formatCode="_(* #,##0.000_);_(* \(#,##0.000\);_(* &quot;-&quot;_);_(@_)"/>
  </numFmts>
  <fonts count="59">
    <font>
      <sz val="10"/>
      <name val="Arial"/>
      <family val="0"/>
    </font>
    <font>
      <sz val="11"/>
      <color indexed="8"/>
      <name val="Calibri"/>
      <family val="2"/>
    </font>
    <font>
      <b/>
      <sz val="10"/>
      <name val="Arial"/>
      <family val="2"/>
    </font>
    <font>
      <sz val="10"/>
      <color indexed="8"/>
      <name val="Arial"/>
      <family val="2"/>
    </font>
    <font>
      <sz val="10"/>
      <color indexed="9"/>
      <name val="Arial"/>
      <family val="2"/>
    </font>
    <font>
      <sz val="9"/>
      <name val="Arial"/>
      <family val="2"/>
    </font>
    <font>
      <b/>
      <sz val="8"/>
      <name val="Tahoma"/>
      <family val="2"/>
    </font>
    <font>
      <sz val="8"/>
      <name val="Tahoma"/>
      <family val="2"/>
    </font>
    <font>
      <vertAlign val="superscript"/>
      <sz val="12"/>
      <name val="Arial"/>
      <family val="2"/>
    </font>
    <font>
      <b/>
      <sz val="12"/>
      <name val="Arial"/>
      <family val="2"/>
    </font>
    <font>
      <sz val="10"/>
      <name val="Calibri"/>
      <family val="2"/>
    </font>
    <font>
      <sz val="10"/>
      <color indexed="8"/>
      <name val="Calibri"/>
      <family val="2"/>
    </font>
    <font>
      <vertAlign val="superscript"/>
      <sz val="10"/>
      <name val="Calibri"/>
      <family val="2"/>
    </font>
    <font>
      <vertAlign val="superscript"/>
      <sz val="10"/>
      <color indexed="8"/>
      <name val="Calibri"/>
      <family val="2"/>
    </font>
    <font>
      <b/>
      <sz val="10"/>
      <name val="Calibri"/>
      <family val="2"/>
    </font>
    <font>
      <sz val="9"/>
      <color indexed="8"/>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6"/>
      <name val="Calibri"/>
      <family val="2"/>
    </font>
    <font>
      <sz val="10"/>
      <color indexed="9"/>
      <name val="Calibri"/>
      <family val="2"/>
    </font>
    <font>
      <b/>
      <sz val="10"/>
      <color indexed="9"/>
      <name val="Calibri"/>
      <family val="2"/>
    </font>
    <font>
      <sz val="10"/>
      <color indexed="10"/>
      <name val="Calibri"/>
      <family val="2"/>
    </font>
    <font>
      <b/>
      <sz val="10"/>
      <color indexed="8"/>
      <name val="Calibri"/>
      <family val="2"/>
    </font>
    <font>
      <u val="singleAccounting"/>
      <sz val="10"/>
      <color indexed="8"/>
      <name val="Calibri"/>
      <family val="2"/>
    </font>
    <font>
      <b/>
      <u val="single"/>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0"/>
      <name val="Calibri"/>
      <family val="2"/>
    </font>
    <font>
      <b/>
      <sz val="10"/>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93300"/>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5999634265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style="dotted"/>
      <bottom style="dotted"/>
    </border>
    <border>
      <left/>
      <right/>
      <top style="dotted"/>
      <bottom/>
    </border>
    <border>
      <left/>
      <right/>
      <top/>
      <bottom style="dotted"/>
    </border>
    <border>
      <left/>
      <right style="thin"/>
      <top style="dotted"/>
      <bottom/>
    </border>
    <border>
      <left style="thin"/>
      <right style="thin"/>
      <top style="dotted"/>
      <bottom/>
    </border>
    <border>
      <left/>
      <right/>
      <top style="dotted"/>
      <bottom style="thin"/>
    </border>
    <border>
      <left/>
      <right style="thin"/>
      <top style="dotted"/>
      <bottom style="thin"/>
    </border>
    <border>
      <left style="thin"/>
      <right style="thin"/>
      <top style="dotted"/>
      <bottom style="thin"/>
    </border>
    <border>
      <left/>
      <right/>
      <top style="hair"/>
      <bottom/>
    </border>
    <border>
      <left/>
      <right/>
      <top style="hair"/>
      <bottom style="dotted"/>
    </border>
    <border>
      <left/>
      <right/>
      <top style="hair"/>
      <bottom style="thin"/>
    </border>
    <border>
      <left/>
      <right style="thin"/>
      <top style="dotted"/>
      <bottom style="dotted"/>
    </border>
    <border>
      <left style="thin"/>
      <right style="thin"/>
      <top style="dotted"/>
      <bottom style="dotted"/>
    </border>
    <border>
      <left/>
      <right/>
      <top/>
      <bottom style="thin"/>
    </border>
    <border>
      <left style="thin"/>
      <right style="thin"/>
      <top style="thin"/>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top style="thin"/>
      <bottom style="hair"/>
    </border>
    <border>
      <left/>
      <right style="thin"/>
      <top style="thin"/>
      <bottom style="hair"/>
    </border>
    <border>
      <left style="thin"/>
      <right style="hair"/>
      <top style="hair"/>
      <bottom style="thin"/>
    </border>
    <border>
      <left style="hair"/>
      <right style="thin"/>
      <top style="hair"/>
      <bottom style="thin"/>
    </border>
    <border>
      <left style="thin"/>
      <right style="thin"/>
      <top style="hair"/>
      <bottom style="thin"/>
    </border>
    <border>
      <left style="thin"/>
      <right/>
      <top style="hair"/>
      <bottom style="thin"/>
    </border>
    <border>
      <left/>
      <right style="thin"/>
      <top style="hair"/>
      <bottom style="thin"/>
    </border>
    <border>
      <left style="thin"/>
      <right style="hair"/>
      <top style="hair"/>
      <bottom style="hair"/>
    </border>
    <border>
      <left style="hair"/>
      <right style="thin"/>
      <top style="hair"/>
      <bottom style="hair"/>
    </border>
    <border>
      <left style="thin"/>
      <right style="thin"/>
      <top style="hair"/>
      <bottom style="hair"/>
    </border>
    <border>
      <left style="thin"/>
      <right/>
      <top style="hair"/>
      <bottom style="hair"/>
    </border>
    <border>
      <left/>
      <right style="thin"/>
      <top style="hair"/>
      <bottom style="hair"/>
    </border>
    <border>
      <left style="thin"/>
      <right style="hair"/>
      <top style="hair"/>
      <bottom/>
    </border>
    <border>
      <left style="hair"/>
      <right style="thin"/>
      <top style="hair"/>
      <bottom/>
    </border>
    <border>
      <left style="thin"/>
      <right style="thin"/>
      <top style="hair"/>
      <bottom/>
    </border>
    <border>
      <left style="thin"/>
      <right/>
      <top style="hair"/>
      <bottom/>
    </border>
    <border>
      <left/>
      <right style="thin"/>
      <top style="hair"/>
      <bottom/>
    </border>
    <border>
      <left/>
      <right/>
      <top style="hair"/>
      <bottom style="hair"/>
    </border>
    <border>
      <left/>
      <right/>
      <top/>
      <bottom style="hair"/>
    </border>
    <border>
      <left/>
      <right/>
      <top style="thin"/>
      <bottom/>
    </border>
    <border>
      <left style="thin"/>
      <right style="hair"/>
      <top/>
      <bottom/>
    </border>
    <border>
      <left style="hair"/>
      <right style="thin"/>
      <top/>
      <bottom/>
    </border>
    <border>
      <left style="thin"/>
      <right style="thin"/>
      <top/>
      <bottom/>
    </border>
    <border>
      <left style="thin"/>
      <right/>
      <top/>
      <bottom/>
    </border>
    <border>
      <left/>
      <right style="thin"/>
      <top/>
      <bottom/>
    </border>
    <border>
      <left style="thin"/>
      <right/>
      <top style="thin"/>
      <bottom style="thin"/>
    </border>
    <border>
      <left style="thin"/>
      <right style="hair"/>
      <top style="thin"/>
      <bottom style="thin"/>
    </border>
    <border>
      <left style="hair"/>
      <right style="thin"/>
      <top style="thin"/>
      <bottom style="thin"/>
    </border>
    <border>
      <left style="medium"/>
      <right style="medium"/>
      <top style="medium"/>
      <bottom style="medium"/>
    </border>
    <border>
      <left style="thin"/>
      <right>
        <color indexed="63"/>
      </right>
      <top>
        <color indexed="63"/>
      </top>
      <bottom style="thin"/>
    </border>
    <border>
      <left/>
      <right style="thin"/>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7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99">
    <xf numFmtId="0" fontId="0" fillId="0" borderId="0" xfId="0" applyAlignment="1">
      <alignment/>
    </xf>
    <xf numFmtId="0" fontId="4" fillId="0" borderId="0" xfId="0" applyFont="1" applyFill="1" applyBorder="1" applyAlignment="1">
      <alignment vertical="center"/>
    </xf>
    <xf numFmtId="0" fontId="3" fillId="0" borderId="0" xfId="0" applyFont="1" applyFill="1" applyBorder="1" applyAlignment="1">
      <alignment vertical="center"/>
    </xf>
    <xf numFmtId="0" fontId="4" fillId="33" borderId="0"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175" fontId="3" fillId="0" borderId="0" xfId="46" applyNumberFormat="1"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175" fontId="3" fillId="0" borderId="0" xfId="46" applyNumberFormat="1" applyFont="1" applyBorder="1" applyAlignment="1">
      <alignment vertical="center"/>
    </xf>
    <xf numFmtId="0" fontId="5" fillId="0"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175" fontId="3" fillId="0" borderId="0" xfId="46" applyNumberFormat="1" applyFont="1" applyBorder="1" applyAlignment="1">
      <alignment horizontal="left" vertical="center" shrinkToFit="1"/>
    </xf>
    <xf numFmtId="0" fontId="3" fillId="0" borderId="0" xfId="0" applyFont="1" applyBorder="1" applyAlignment="1">
      <alignment horizontal="left" vertical="center" shrinkToFit="1"/>
    </xf>
    <xf numFmtId="0" fontId="5" fillId="0" borderId="0" xfId="0" applyFont="1" applyFill="1" applyBorder="1" applyAlignment="1">
      <alignment horizontal="left" vertical="center" shrinkToFit="1"/>
    </xf>
    <xf numFmtId="175" fontId="3" fillId="0" borderId="0" xfId="46" applyNumberFormat="1" applyFont="1" applyAlignment="1">
      <alignment horizontal="left" vertical="center" shrinkToFit="1"/>
    </xf>
    <xf numFmtId="0" fontId="3" fillId="0" borderId="0" xfId="0" applyFont="1" applyAlignment="1">
      <alignment horizontal="left" vertical="center" shrinkToFit="1"/>
    </xf>
    <xf numFmtId="175" fontId="3" fillId="0" borderId="0" xfId="0" applyNumberFormat="1" applyFont="1" applyBorder="1" applyAlignment="1">
      <alignment vertical="center"/>
    </xf>
    <xf numFmtId="0" fontId="55" fillId="33" borderId="0" xfId="0" applyFont="1" applyFill="1" applyBorder="1" applyAlignment="1">
      <alignment vertical="center"/>
    </xf>
    <xf numFmtId="173" fontId="55" fillId="33" borderId="0" xfId="46" applyFont="1" applyFill="1" applyBorder="1" applyAlignment="1">
      <alignment vertical="center"/>
    </xf>
    <xf numFmtId="0" fontId="31" fillId="0" borderId="0" xfId="0" applyFont="1" applyFill="1" applyBorder="1" applyAlignment="1">
      <alignment vertical="center"/>
    </xf>
    <xf numFmtId="0" fontId="10" fillId="0" borderId="0" xfId="0" applyFont="1" applyFill="1" applyBorder="1" applyAlignment="1">
      <alignment vertical="center"/>
    </xf>
    <xf numFmtId="0" fontId="56" fillId="34" borderId="10" xfId="0" applyFont="1" applyFill="1" applyBorder="1" applyAlignment="1">
      <alignment horizontal="center" vertical="center"/>
    </xf>
    <xf numFmtId="175" fontId="57" fillId="34" borderId="10" xfId="46" applyNumberFormat="1" applyFont="1" applyFill="1" applyBorder="1" applyAlignment="1">
      <alignment vertical="center"/>
    </xf>
    <xf numFmtId="172" fontId="57" fillId="34" borderId="10" xfId="46" applyNumberFormat="1" applyFont="1" applyFill="1" applyBorder="1" applyAlignment="1">
      <alignment vertical="center"/>
    </xf>
    <xf numFmtId="0" fontId="56" fillId="34" borderId="11" xfId="0" applyFont="1" applyFill="1" applyBorder="1" applyAlignment="1">
      <alignment horizontal="left" vertical="center" shrinkToFit="1"/>
    </xf>
    <xf numFmtId="175" fontId="56" fillId="33" borderId="0" xfId="0" applyNumberFormat="1" applyFont="1" applyFill="1" applyBorder="1" applyAlignment="1">
      <alignment vertical="center"/>
    </xf>
    <xf numFmtId="0" fontId="32" fillId="33" borderId="0" xfId="0" applyFont="1" applyFill="1" applyBorder="1" applyAlignment="1">
      <alignment vertical="center"/>
    </xf>
    <xf numFmtId="0" fontId="32"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56" fillId="33" borderId="0" xfId="0" applyFont="1" applyFill="1" applyBorder="1" applyAlignment="1">
      <alignment horizontal="center" vertical="center"/>
    </xf>
    <xf numFmtId="0" fontId="32" fillId="33" borderId="0" xfId="0" applyFont="1" applyFill="1" applyBorder="1" applyAlignment="1">
      <alignment horizontal="center" vertical="center"/>
    </xf>
    <xf numFmtId="0" fontId="3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35" borderId="0" xfId="0" applyFont="1" applyFill="1" applyAlignment="1">
      <alignment horizontal="center" vertical="center"/>
    </xf>
    <xf numFmtId="0" fontId="11" fillId="0" borderId="0" xfId="0" applyFont="1" applyFill="1" applyBorder="1" applyAlignment="1">
      <alignment horizontal="left" vertical="center" shrinkToFit="1"/>
    </xf>
    <xf numFmtId="0" fontId="56" fillId="33" borderId="0" xfId="0" applyFont="1" applyFill="1" applyBorder="1" applyAlignment="1">
      <alignment vertical="center"/>
    </xf>
    <xf numFmtId="0" fontId="11" fillId="0" borderId="0" xfId="0" applyFont="1" applyAlignment="1">
      <alignment vertical="center"/>
    </xf>
    <xf numFmtId="0" fontId="56" fillId="36" borderId="0" xfId="0" applyFont="1" applyFill="1" applyBorder="1" applyAlignment="1">
      <alignment vertical="center"/>
    </xf>
    <xf numFmtId="0" fontId="32" fillId="36" borderId="0" xfId="0" applyFont="1" applyFill="1" applyBorder="1" applyAlignment="1">
      <alignment vertical="center"/>
    </xf>
    <xf numFmtId="0" fontId="11" fillId="36" borderId="0" xfId="0" applyFont="1" applyFill="1" applyBorder="1" applyAlignment="1">
      <alignment vertical="center"/>
    </xf>
    <xf numFmtId="0" fontId="11" fillId="36" borderId="0" xfId="0" applyFont="1" applyFill="1" applyAlignment="1">
      <alignment vertical="center"/>
    </xf>
    <xf numFmtId="175" fontId="32" fillId="33" borderId="0" xfId="0" applyNumberFormat="1" applyFont="1" applyFill="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4" xfId="0" applyFont="1" applyFill="1" applyBorder="1" applyAlignment="1">
      <alignment vertical="center"/>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11" fillId="0" borderId="17" xfId="0" applyFont="1" applyFill="1" applyBorder="1" applyAlignment="1">
      <alignment vertical="center"/>
    </xf>
    <xf numFmtId="175" fontId="34" fillId="33" borderId="0" xfId="0" applyNumberFormat="1" applyFont="1" applyFill="1" applyBorder="1" applyAlignment="1">
      <alignmen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17" xfId="0" applyFont="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56" fillId="0" borderId="0" xfId="0" applyFont="1" applyBorder="1" applyAlignment="1">
      <alignment horizontal="right"/>
    </xf>
    <xf numFmtId="175" fontId="56" fillId="36" borderId="0" xfId="0" applyNumberFormat="1" applyFont="1" applyFill="1" applyBorder="1" applyAlignment="1">
      <alignment vertical="center"/>
    </xf>
    <xf numFmtId="175" fontId="32" fillId="36" borderId="0" xfId="0" applyNumberFormat="1" applyFont="1" applyFill="1" applyBorder="1" applyAlignment="1">
      <alignment vertical="center"/>
    </xf>
    <xf numFmtId="0" fontId="11" fillId="36" borderId="25" xfId="0" applyFont="1" applyFill="1" applyBorder="1" applyAlignment="1">
      <alignment vertical="center"/>
    </xf>
    <xf numFmtId="175" fontId="56" fillId="0" borderId="0" xfId="0" applyNumberFormat="1" applyFont="1" applyFill="1" applyBorder="1" applyAlignment="1">
      <alignment vertical="center"/>
    </xf>
    <xf numFmtId="175" fontId="32" fillId="0" borderId="0" xfId="0" applyNumberFormat="1" applyFont="1" applyFill="1" applyBorder="1" applyAlignment="1">
      <alignment vertical="center"/>
    </xf>
    <xf numFmtId="0" fontId="11" fillId="0" borderId="11" xfId="0" applyFont="1" applyBorder="1" applyAlignment="1">
      <alignment vertical="center"/>
    </xf>
    <xf numFmtId="0" fontId="11" fillId="0" borderId="26" xfId="0" applyFont="1" applyBorder="1" applyAlignment="1">
      <alignment vertical="center"/>
    </xf>
    <xf numFmtId="175" fontId="32" fillId="36" borderId="0" xfId="46" applyNumberFormat="1" applyFont="1" applyFill="1" applyBorder="1" applyAlignment="1">
      <alignment vertical="center"/>
    </xf>
    <xf numFmtId="175" fontId="32" fillId="33" borderId="0" xfId="46" applyNumberFormat="1" applyFont="1" applyFill="1" applyBorder="1" applyAlignment="1">
      <alignment vertical="center"/>
    </xf>
    <xf numFmtId="175" fontId="35" fillId="0" borderId="0" xfId="46" applyNumberFormat="1" applyFont="1" applyFill="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horizontal="center" vertical="center"/>
    </xf>
    <xf numFmtId="0" fontId="11" fillId="0" borderId="29" xfId="0" applyFont="1" applyBorder="1" applyAlignment="1">
      <alignment vertical="center"/>
    </xf>
    <xf numFmtId="172" fontId="11" fillId="0" borderId="30" xfId="46" applyNumberFormat="1" applyFont="1" applyFill="1" applyBorder="1" applyAlignment="1">
      <alignment vertical="center"/>
    </xf>
    <xf numFmtId="172" fontId="11" fillId="0" borderId="31" xfId="46" applyNumberFormat="1" applyFont="1" applyFill="1" applyBorder="1" applyAlignment="1">
      <alignment horizontal="left" vertical="center" shrinkToFit="1"/>
    </xf>
    <xf numFmtId="0" fontId="11" fillId="0" borderId="31" xfId="0" applyFont="1" applyFill="1" applyBorder="1" applyAlignment="1">
      <alignment horizontal="left" vertical="center" shrinkToFit="1"/>
    </xf>
    <xf numFmtId="0" fontId="11" fillId="0" borderId="32"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horizontal="center" vertical="center"/>
    </xf>
    <xf numFmtId="0" fontId="11" fillId="0" borderId="34" xfId="0" applyFont="1" applyBorder="1" applyAlignment="1">
      <alignment vertical="center"/>
    </xf>
    <xf numFmtId="175" fontId="11" fillId="0" borderId="35" xfId="46" applyNumberFormat="1" applyFont="1" applyBorder="1" applyAlignment="1">
      <alignment vertical="center"/>
    </xf>
    <xf numFmtId="175" fontId="11" fillId="0" borderId="36" xfId="46" applyNumberFormat="1" applyFont="1" applyBorder="1" applyAlignment="1">
      <alignment horizontal="left" vertical="center" shrinkToFit="1"/>
    </xf>
    <xf numFmtId="172" fontId="11" fillId="0" borderId="35" xfId="46" applyNumberFormat="1" applyFont="1" applyFill="1" applyBorder="1" applyAlignment="1">
      <alignment vertical="center"/>
    </xf>
    <xf numFmtId="0" fontId="11" fillId="0" borderId="36" xfId="0" applyFont="1" applyFill="1" applyBorder="1" applyAlignment="1">
      <alignment horizontal="left" vertical="center" shrinkToFit="1"/>
    </xf>
    <xf numFmtId="0" fontId="35" fillId="0" borderId="0" xfId="0" applyFont="1" applyBorder="1" applyAlignment="1">
      <alignment vertical="center"/>
    </xf>
    <xf numFmtId="0" fontId="35" fillId="0" borderId="0" xfId="0" applyFont="1" applyBorder="1" applyAlignment="1">
      <alignment horizontal="center" vertical="center"/>
    </xf>
    <xf numFmtId="0" fontId="11" fillId="0" borderId="0" xfId="0" applyFont="1" applyBorder="1" applyAlignment="1">
      <alignment horizontal="center" vertical="center"/>
    </xf>
    <xf numFmtId="175" fontId="35" fillId="0" borderId="0" xfId="46" applyNumberFormat="1" applyFont="1" applyBorder="1" applyAlignment="1">
      <alignment vertical="center"/>
    </xf>
    <xf numFmtId="175" fontId="35" fillId="0" borderId="0" xfId="46" applyNumberFormat="1" applyFont="1" applyBorder="1" applyAlignment="1">
      <alignment horizontal="left" vertical="center" shrinkToFit="1"/>
    </xf>
    <xf numFmtId="172" fontId="35" fillId="0" borderId="0" xfId="46" applyNumberFormat="1" applyFont="1" applyBorder="1" applyAlignment="1">
      <alignment vertical="center"/>
    </xf>
    <xf numFmtId="0" fontId="11" fillId="0" borderId="0" xfId="0" applyFont="1" applyBorder="1" applyAlignment="1">
      <alignment horizontal="left" vertical="center" shrinkToFit="1"/>
    </xf>
    <xf numFmtId="175" fontId="11" fillId="33" borderId="27" xfId="46" applyNumberFormat="1" applyFont="1" applyFill="1" applyBorder="1" applyAlignment="1">
      <alignment vertical="center"/>
    </xf>
    <xf numFmtId="175" fontId="11" fillId="0" borderId="30" xfId="46" applyNumberFormat="1" applyFont="1" applyBorder="1" applyAlignment="1">
      <alignment vertical="center"/>
    </xf>
    <xf numFmtId="175" fontId="11" fillId="0" borderId="31" xfId="46" applyNumberFormat="1" applyFont="1" applyBorder="1" applyAlignment="1">
      <alignment horizontal="left" vertical="center" shrinkToFit="1"/>
    </xf>
    <xf numFmtId="175" fontId="11" fillId="0" borderId="37" xfId="48" applyNumberFormat="1"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horizontal="center" vertical="center"/>
    </xf>
    <xf numFmtId="0" fontId="11" fillId="0" borderId="39" xfId="0" applyFont="1" applyBorder="1" applyAlignment="1">
      <alignment vertical="center"/>
    </xf>
    <xf numFmtId="175" fontId="11" fillId="0" borderId="40" xfId="46" applyNumberFormat="1" applyFont="1" applyBorder="1" applyAlignment="1">
      <alignment vertical="center"/>
    </xf>
    <xf numFmtId="175" fontId="11" fillId="0" borderId="41" xfId="46" applyNumberFormat="1" applyFont="1" applyBorder="1" applyAlignment="1">
      <alignment horizontal="left" vertical="center" shrinkToFit="1"/>
    </xf>
    <xf numFmtId="172" fontId="11" fillId="0" borderId="40" xfId="46" applyNumberFormat="1" applyFont="1" applyFill="1" applyBorder="1" applyAlignment="1">
      <alignment vertical="center"/>
    </xf>
    <xf numFmtId="0" fontId="11" fillId="0" borderId="41" xfId="0" applyFont="1" applyFill="1" applyBorder="1" applyAlignment="1">
      <alignment horizontal="left" vertical="center" shrinkToFit="1"/>
    </xf>
    <xf numFmtId="175" fontId="11" fillId="0" borderId="37" xfId="48" applyNumberFormat="1" applyFont="1" applyFill="1" applyBorder="1" applyAlignment="1">
      <alignment vertical="center"/>
    </xf>
    <xf numFmtId="0" fontId="11" fillId="0" borderId="38" xfId="0" applyFont="1" applyFill="1" applyBorder="1" applyAlignment="1">
      <alignment vertical="center"/>
    </xf>
    <xf numFmtId="0" fontId="11" fillId="0" borderId="39" xfId="0" applyFont="1" applyFill="1" applyBorder="1" applyAlignment="1">
      <alignment horizontal="center" vertical="center"/>
    </xf>
    <xf numFmtId="0" fontId="11" fillId="0" borderId="39" xfId="0" applyFont="1" applyFill="1" applyBorder="1" applyAlignment="1">
      <alignment vertical="center"/>
    </xf>
    <xf numFmtId="175" fontId="11" fillId="0" borderId="40" xfId="46" applyNumberFormat="1" applyFont="1" applyFill="1" applyBorder="1" applyAlignment="1">
      <alignment vertical="center"/>
    </xf>
    <xf numFmtId="175" fontId="11" fillId="0" borderId="41" xfId="46" applyNumberFormat="1" applyFont="1" applyFill="1" applyBorder="1" applyAlignment="1">
      <alignment horizontal="left" vertical="center" shrinkToFit="1"/>
    </xf>
    <xf numFmtId="175" fontId="11" fillId="33" borderId="37" xfId="46" applyNumberFormat="1" applyFont="1" applyFill="1" applyBorder="1" applyAlignment="1">
      <alignment vertical="center"/>
    </xf>
    <xf numFmtId="0" fontId="35" fillId="0" borderId="41" xfId="0" applyFont="1" applyFill="1" applyBorder="1" applyAlignment="1">
      <alignment horizontal="left" vertical="center" shrinkToFit="1"/>
    </xf>
    <xf numFmtId="175" fontId="11" fillId="33" borderId="32" xfId="46" applyNumberFormat="1" applyFont="1" applyFill="1" applyBorder="1" applyAlignment="1">
      <alignment vertical="center"/>
    </xf>
    <xf numFmtId="0" fontId="35" fillId="0" borderId="36" xfId="0" applyFont="1" applyFill="1" applyBorder="1" applyAlignment="1">
      <alignment horizontal="left" vertical="center" shrinkToFit="1"/>
    </xf>
    <xf numFmtId="175" fontId="11" fillId="0" borderId="27" xfId="48" applyNumberFormat="1" applyFont="1" applyBorder="1" applyAlignment="1">
      <alignment vertical="center"/>
    </xf>
    <xf numFmtId="172" fontId="11" fillId="0" borderId="28" xfId="0" applyNumberFormat="1" applyFont="1" applyBorder="1" applyAlignment="1">
      <alignment vertical="center"/>
    </xf>
    <xf numFmtId="172" fontId="11" fillId="0" borderId="38" xfId="0" applyNumberFormat="1" applyFont="1" applyBorder="1" applyAlignment="1">
      <alignment vertical="center"/>
    </xf>
    <xf numFmtId="175" fontId="11" fillId="0" borderId="32" xfId="48" applyNumberFormat="1" applyFont="1" applyBorder="1" applyAlignment="1">
      <alignment vertical="center"/>
    </xf>
    <xf numFmtId="172" fontId="11" fillId="0" borderId="33" xfId="0" applyNumberFormat="1" applyFont="1" applyBorder="1" applyAlignment="1">
      <alignment vertical="center"/>
    </xf>
    <xf numFmtId="0" fontId="11" fillId="0" borderId="37" xfId="0" applyFont="1" applyBorder="1" applyAlignment="1">
      <alignment vertical="center"/>
    </xf>
    <xf numFmtId="0" fontId="11" fillId="0" borderId="39" xfId="0" applyFont="1" applyBorder="1" applyAlignment="1" quotePrefix="1">
      <alignment horizontal="center" vertical="center"/>
    </xf>
    <xf numFmtId="0" fontId="11" fillId="0" borderId="37" xfId="0" applyFont="1" applyFill="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horizontal="center" vertical="center"/>
    </xf>
    <xf numFmtId="0" fontId="11" fillId="0" borderId="44" xfId="0" applyFont="1" applyBorder="1" applyAlignment="1">
      <alignment vertical="center"/>
    </xf>
    <xf numFmtId="175" fontId="11" fillId="0" borderId="45" xfId="46" applyNumberFormat="1" applyFont="1" applyBorder="1" applyAlignment="1">
      <alignment vertical="center"/>
    </xf>
    <xf numFmtId="175" fontId="11" fillId="0" borderId="46" xfId="46" applyNumberFormat="1" applyFont="1" applyBorder="1" applyAlignment="1">
      <alignment horizontal="left" vertical="center" shrinkToFit="1"/>
    </xf>
    <xf numFmtId="172" fontId="11" fillId="0" borderId="45" xfId="46" applyNumberFormat="1" applyFont="1" applyFill="1" applyBorder="1" applyAlignment="1">
      <alignment vertical="center"/>
    </xf>
    <xf numFmtId="0" fontId="35" fillId="0" borderId="46" xfId="0" applyFont="1" applyFill="1" applyBorder="1" applyAlignment="1">
      <alignment horizontal="left" vertical="center" shrinkToFit="1"/>
    </xf>
    <xf numFmtId="0" fontId="11" fillId="0" borderId="46" xfId="0" applyFont="1" applyFill="1" applyBorder="1" applyAlignment="1">
      <alignment horizontal="left" vertical="center" shrinkToFit="1"/>
    </xf>
    <xf numFmtId="17" fontId="11" fillId="0" borderId="39" xfId="0" applyNumberFormat="1" applyFont="1" applyBorder="1" applyAlignment="1">
      <alignment horizontal="center" vertical="center"/>
    </xf>
    <xf numFmtId="0" fontId="11" fillId="0" borderId="47" xfId="0" applyFont="1" applyFill="1" applyBorder="1" applyAlignment="1">
      <alignment vertical="center"/>
    </xf>
    <xf numFmtId="0" fontId="11" fillId="0" borderId="48" xfId="0" applyFont="1" applyFill="1" applyBorder="1" applyAlignment="1">
      <alignment vertical="center"/>
    </xf>
    <xf numFmtId="0" fontId="11" fillId="0" borderId="22" xfId="0" applyFont="1" applyBorder="1" applyAlignment="1">
      <alignment vertical="center"/>
    </xf>
    <xf numFmtId="0" fontId="32" fillId="33" borderId="0" xfId="0" applyFont="1" applyFill="1" applyBorder="1" applyAlignment="1" quotePrefix="1">
      <alignment vertical="center"/>
    </xf>
    <xf numFmtId="0" fontId="33" fillId="33" borderId="0" xfId="0" applyFont="1" applyFill="1" applyBorder="1" applyAlignment="1">
      <alignment vertical="center"/>
    </xf>
    <xf numFmtId="9" fontId="32" fillId="33" borderId="0" xfId="52" applyFont="1" applyFill="1" applyBorder="1" applyAlignment="1">
      <alignment vertical="center"/>
    </xf>
    <xf numFmtId="0" fontId="11" fillId="0" borderId="44" xfId="0" applyFont="1" applyBorder="1" applyAlignment="1">
      <alignment vertical="center" wrapText="1"/>
    </xf>
    <xf numFmtId="0" fontId="11" fillId="0" borderId="10" xfId="0" applyFont="1" applyFill="1" applyBorder="1" applyAlignment="1">
      <alignment vertical="center"/>
    </xf>
    <xf numFmtId="0" fontId="11" fillId="0" borderId="49" xfId="0" applyFont="1" applyFill="1" applyBorder="1" applyAlignment="1">
      <alignmen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11" fillId="33" borderId="17" xfId="0" applyFont="1" applyFill="1" applyBorder="1" applyAlignment="1">
      <alignment vertical="center"/>
    </xf>
    <xf numFmtId="0" fontId="11" fillId="0" borderId="50" xfId="0" applyFont="1" applyBorder="1" applyAlignment="1">
      <alignment vertical="center"/>
    </xf>
    <xf numFmtId="0" fontId="11" fillId="0" borderId="51" xfId="0" applyFont="1" applyBorder="1" applyAlignment="1">
      <alignment vertical="center"/>
    </xf>
    <xf numFmtId="0" fontId="11" fillId="0" borderId="52" xfId="0" applyFont="1" applyBorder="1" applyAlignment="1">
      <alignment horizontal="center" vertical="center"/>
    </xf>
    <xf numFmtId="0" fontId="11" fillId="0" borderId="52" xfId="0" applyFont="1" applyBorder="1" applyAlignment="1">
      <alignment vertical="center"/>
    </xf>
    <xf numFmtId="175" fontId="11" fillId="0" borderId="53" xfId="46" applyNumberFormat="1" applyFont="1" applyBorder="1" applyAlignment="1">
      <alignment vertical="center"/>
    </xf>
    <xf numFmtId="175" fontId="11" fillId="0" borderId="54" xfId="46" applyNumberFormat="1" applyFont="1" applyBorder="1" applyAlignment="1">
      <alignment horizontal="left" vertical="center" shrinkToFit="1"/>
    </xf>
    <xf numFmtId="172" fontId="11" fillId="0" borderId="53" xfId="46" applyNumberFormat="1" applyFont="1" applyFill="1" applyBorder="1" applyAlignment="1">
      <alignment vertical="center"/>
    </xf>
    <xf numFmtId="0" fontId="11" fillId="0" borderId="54" xfId="0" applyFont="1" applyFill="1" applyBorder="1" applyAlignment="1">
      <alignment horizontal="left" vertical="center" shrinkToFit="1"/>
    </xf>
    <xf numFmtId="0" fontId="11" fillId="0" borderId="11" xfId="0" applyFont="1" applyFill="1" applyBorder="1" applyAlignment="1">
      <alignment vertical="center"/>
    </xf>
    <xf numFmtId="0" fontId="11" fillId="0" borderId="26" xfId="0" applyFont="1" applyFill="1" applyBorder="1" applyAlignment="1">
      <alignment vertical="center"/>
    </xf>
    <xf numFmtId="0" fontId="11" fillId="0" borderId="44" xfId="0" applyFont="1" applyFill="1" applyBorder="1" applyAlignment="1">
      <alignment horizontal="center" vertical="center"/>
    </xf>
    <xf numFmtId="172" fontId="11" fillId="36" borderId="45" xfId="46" applyNumberFormat="1" applyFont="1" applyFill="1" applyBorder="1" applyAlignment="1">
      <alignment vertical="center"/>
    </xf>
    <xf numFmtId="0" fontId="35" fillId="0" borderId="55" xfId="0" applyFont="1" applyFill="1" applyBorder="1" applyAlignment="1">
      <alignment vertical="center"/>
    </xf>
    <xf numFmtId="14"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175" fontId="35" fillId="0" borderId="10" xfId="46" applyNumberFormat="1" applyFont="1" applyFill="1" applyBorder="1" applyAlignment="1">
      <alignment vertical="center"/>
    </xf>
    <xf numFmtId="175" fontId="35" fillId="0" borderId="10" xfId="46" applyNumberFormat="1" applyFont="1" applyFill="1" applyBorder="1" applyAlignment="1">
      <alignment horizontal="left" vertical="center" shrinkToFit="1"/>
    </xf>
    <xf numFmtId="0" fontId="35" fillId="0" borderId="11" xfId="0" applyFont="1" applyFill="1" applyBorder="1" applyAlignment="1">
      <alignment horizontal="left" vertical="center" shrinkToFit="1"/>
    </xf>
    <xf numFmtId="0" fontId="35" fillId="36" borderId="0" xfId="0" applyFont="1" applyFill="1" applyBorder="1" applyAlignment="1">
      <alignment vertical="center"/>
    </xf>
    <xf numFmtId="175" fontId="35" fillId="36" borderId="0" xfId="0" applyNumberFormat="1" applyFont="1" applyFill="1" applyBorder="1" applyAlignment="1">
      <alignment vertical="center"/>
    </xf>
    <xf numFmtId="0" fontId="35" fillId="36" borderId="0" xfId="0" applyFont="1" applyFill="1" applyBorder="1" applyAlignment="1">
      <alignment horizontal="left" vertical="center" shrinkToFit="1"/>
    </xf>
    <xf numFmtId="0" fontId="35" fillId="0" borderId="10" xfId="0" applyFont="1" applyFill="1" applyBorder="1" applyAlignment="1">
      <alignment vertical="center"/>
    </xf>
    <xf numFmtId="0" fontId="35" fillId="0" borderId="10" xfId="0" applyFont="1" applyFill="1" applyBorder="1" applyAlignment="1">
      <alignment horizontal="center" vertical="center"/>
    </xf>
    <xf numFmtId="172" fontId="11" fillId="0" borderId="11" xfId="46" applyNumberFormat="1" applyFont="1" applyFill="1" applyBorder="1" applyAlignment="1">
      <alignment horizontal="left" vertical="center" shrinkToFit="1"/>
    </xf>
    <xf numFmtId="172" fontId="11" fillId="0" borderId="0" xfId="46" applyNumberFormat="1" applyFont="1" applyBorder="1" applyAlignment="1">
      <alignment horizontal="left" vertical="center" shrinkToFit="1"/>
    </xf>
    <xf numFmtId="0" fontId="35" fillId="0" borderId="0" xfId="0" applyFont="1" applyBorder="1" applyAlignment="1">
      <alignment horizontal="left" vertical="center" shrinkToFit="1"/>
    </xf>
    <xf numFmtId="172" fontId="35" fillId="0" borderId="0" xfId="46" applyNumberFormat="1" applyFont="1" applyFill="1" applyBorder="1" applyAlignment="1">
      <alignment vertical="center"/>
    </xf>
    <xf numFmtId="0" fontId="11" fillId="0" borderId="27" xfId="0" applyFont="1" applyFill="1" applyBorder="1" applyAlignment="1">
      <alignment vertical="center"/>
    </xf>
    <xf numFmtId="0" fontId="11" fillId="0" borderId="28" xfId="0" applyFont="1" applyFill="1" applyBorder="1" applyAlignment="1">
      <alignment vertical="center"/>
    </xf>
    <xf numFmtId="0" fontId="11" fillId="0" borderId="29" xfId="0" applyFont="1" applyFill="1" applyBorder="1" applyAlignment="1">
      <alignment horizontal="center" vertical="center"/>
    </xf>
    <xf numFmtId="0" fontId="11" fillId="0" borderId="29" xfId="0" applyFont="1" applyFill="1" applyBorder="1" applyAlignment="1">
      <alignment vertical="center" wrapText="1"/>
    </xf>
    <xf numFmtId="175" fontId="11" fillId="0" borderId="30" xfId="46" applyNumberFormat="1" applyFont="1" applyFill="1" applyBorder="1" applyAlignment="1">
      <alignment vertical="center"/>
    </xf>
    <xf numFmtId="175" fontId="11" fillId="0" borderId="31" xfId="46" applyNumberFormat="1" applyFont="1" applyFill="1" applyBorder="1" applyAlignment="1">
      <alignment horizontal="left" vertical="center" shrinkToFit="1"/>
    </xf>
    <xf numFmtId="0" fontId="11" fillId="0" borderId="39" xfId="0" applyFont="1" applyBorder="1" applyAlignment="1">
      <alignment vertical="center" wrapText="1"/>
    </xf>
    <xf numFmtId="175" fontId="35" fillId="0" borderId="0" xfId="48" applyNumberFormat="1" applyFont="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175" fontId="35" fillId="0" borderId="0" xfId="46" applyNumberFormat="1" applyFont="1" applyFill="1" applyBorder="1" applyAlignment="1">
      <alignment horizontal="left" vertical="center" shrinkToFit="1"/>
    </xf>
    <xf numFmtId="178" fontId="35" fillId="0" borderId="0" xfId="46" applyNumberFormat="1" applyFont="1" applyFill="1" applyBorder="1" applyAlignment="1">
      <alignment vertical="center"/>
    </xf>
    <xf numFmtId="172" fontId="11" fillId="0" borderId="0" xfId="46" applyNumberFormat="1" applyFont="1" applyFill="1" applyBorder="1" applyAlignment="1">
      <alignment horizontal="left" vertical="center" shrinkToFit="1"/>
    </xf>
    <xf numFmtId="0" fontId="11" fillId="36" borderId="37" xfId="0" applyFont="1" applyFill="1" applyBorder="1" applyAlignment="1">
      <alignment vertical="center"/>
    </xf>
    <xf numFmtId="0" fontId="11" fillId="36" borderId="38" xfId="0" applyFont="1" applyFill="1" applyBorder="1" applyAlignment="1">
      <alignment vertical="center"/>
    </xf>
    <xf numFmtId="0" fontId="11" fillId="36" borderId="39" xfId="0" applyFont="1" applyFill="1" applyBorder="1" applyAlignment="1">
      <alignment horizontal="center" vertical="center"/>
    </xf>
    <xf numFmtId="0" fontId="11" fillId="36" borderId="39" xfId="0" applyFont="1" applyFill="1" applyBorder="1" applyAlignment="1">
      <alignment vertical="center"/>
    </xf>
    <xf numFmtId="175" fontId="11" fillId="36" borderId="40" xfId="46" applyNumberFormat="1" applyFont="1" applyFill="1" applyBorder="1" applyAlignment="1">
      <alignment vertical="center"/>
    </xf>
    <xf numFmtId="175" fontId="11" fillId="36" borderId="41" xfId="46" applyNumberFormat="1" applyFont="1" applyFill="1" applyBorder="1" applyAlignment="1">
      <alignment horizontal="left" vertical="center" shrinkToFit="1"/>
    </xf>
    <xf numFmtId="172" fontId="11" fillId="36" borderId="40" xfId="46" applyNumberFormat="1" applyFont="1" applyFill="1" applyBorder="1" applyAlignment="1">
      <alignment vertical="center"/>
    </xf>
    <xf numFmtId="0" fontId="11" fillId="36" borderId="41" xfId="0" applyFont="1" applyFill="1" applyBorder="1" applyAlignment="1">
      <alignment horizontal="left" vertical="center" shrinkToFit="1"/>
    </xf>
    <xf numFmtId="0" fontId="11" fillId="36" borderId="42" xfId="0" applyFont="1" applyFill="1" applyBorder="1" applyAlignment="1">
      <alignment vertical="center"/>
    </xf>
    <xf numFmtId="0" fontId="11" fillId="36" borderId="43" xfId="0" applyFont="1" applyFill="1" applyBorder="1" applyAlignment="1">
      <alignment vertical="center"/>
    </xf>
    <xf numFmtId="0" fontId="11" fillId="36" borderId="44" xfId="0" applyFont="1" applyFill="1" applyBorder="1" applyAlignment="1">
      <alignment horizontal="center" vertical="center"/>
    </xf>
    <xf numFmtId="0" fontId="11" fillId="36" borderId="44" xfId="0" applyFont="1" applyFill="1" applyBorder="1" applyAlignment="1">
      <alignment vertical="center"/>
    </xf>
    <xf numFmtId="175" fontId="11" fillId="36" borderId="45" xfId="46" applyNumberFormat="1" applyFont="1" applyFill="1" applyBorder="1" applyAlignment="1">
      <alignment vertical="center"/>
    </xf>
    <xf numFmtId="175" fontId="11" fillId="36" borderId="46" xfId="46" applyNumberFormat="1" applyFont="1" applyFill="1" applyBorder="1" applyAlignment="1">
      <alignment horizontal="left" vertical="center" shrinkToFit="1"/>
    </xf>
    <xf numFmtId="0" fontId="11" fillId="36" borderId="46" xfId="0" applyFont="1" applyFill="1" applyBorder="1" applyAlignment="1">
      <alignment horizontal="left" vertical="center" shrinkToFit="1"/>
    </xf>
    <xf numFmtId="175" fontId="35" fillId="36" borderId="55" xfId="48" applyNumberFormat="1" applyFont="1" applyFill="1" applyBorder="1" applyAlignment="1">
      <alignment vertical="center"/>
    </xf>
    <xf numFmtId="0" fontId="35" fillId="36" borderId="10" xfId="0" applyFont="1" applyFill="1" applyBorder="1" applyAlignment="1">
      <alignment vertical="center"/>
    </xf>
    <xf numFmtId="0" fontId="35" fillId="36" borderId="10" xfId="0" applyFont="1" applyFill="1" applyBorder="1" applyAlignment="1">
      <alignment horizontal="center" vertical="center"/>
    </xf>
    <xf numFmtId="175" fontId="35" fillId="36" borderId="10" xfId="46" applyNumberFormat="1" applyFont="1" applyFill="1" applyBorder="1" applyAlignment="1">
      <alignment vertical="center"/>
    </xf>
    <xf numFmtId="175" fontId="35" fillId="36" borderId="10" xfId="46" applyNumberFormat="1" applyFont="1" applyFill="1" applyBorder="1" applyAlignment="1">
      <alignment horizontal="left" vertical="center" shrinkToFit="1"/>
    </xf>
    <xf numFmtId="172" fontId="11" fillId="36" borderId="11" xfId="46" applyNumberFormat="1" applyFont="1" applyFill="1" applyBorder="1" applyAlignment="1">
      <alignment horizontal="left" vertical="center" shrinkToFit="1"/>
    </xf>
    <xf numFmtId="175" fontId="35" fillId="36" borderId="0" xfId="48" applyNumberFormat="1" applyFont="1" applyFill="1" applyBorder="1" applyAlignment="1">
      <alignment vertical="center"/>
    </xf>
    <xf numFmtId="0" fontId="35" fillId="36" borderId="0" xfId="0" applyFont="1" applyFill="1" applyBorder="1" applyAlignment="1">
      <alignment horizontal="center" vertical="center"/>
    </xf>
    <xf numFmtId="175" fontId="35" fillId="36" borderId="0" xfId="46" applyNumberFormat="1" applyFont="1" applyFill="1" applyBorder="1" applyAlignment="1">
      <alignment vertical="center"/>
    </xf>
    <xf numFmtId="175" fontId="35" fillId="36" borderId="0" xfId="46" applyNumberFormat="1" applyFont="1" applyFill="1" applyBorder="1" applyAlignment="1">
      <alignment horizontal="left" vertical="center" shrinkToFit="1"/>
    </xf>
    <xf numFmtId="175" fontId="11" fillId="36" borderId="0" xfId="46" applyNumberFormat="1" applyFont="1" applyFill="1" applyBorder="1" applyAlignment="1">
      <alignment vertical="center"/>
    </xf>
    <xf numFmtId="172" fontId="11" fillId="36" borderId="0" xfId="46" applyNumberFormat="1" applyFont="1" applyFill="1" applyBorder="1" applyAlignment="1">
      <alignment horizontal="left" vertical="center" shrinkToFit="1"/>
    </xf>
    <xf numFmtId="175" fontId="35" fillId="0" borderId="55" xfId="48" applyNumberFormat="1" applyFont="1" applyFill="1" applyBorder="1" applyAlignment="1">
      <alignment vertical="center"/>
    </xf>
    <xf numFmtId="175" fontId="35" fillId="0" borderId="0" xfId="48" applyNumberFormat="1" applyFont="1" applyFill="1" applyBorder="1" applyAlignment="1">
      <alignment vertical="center"/>
    </xf>
    <xf numFmtId="0" fontId="57" fillId="0" borderId="0" xfId="0" applyFont="1" applyBorder="1" applyAlignment="1">
      <alignment vertical="center"/>
    </xf>
    <xf numFmtId="0" fontId="35" fillId="0" borderId="0" xfId="0" applyFont="1" applyFill="1" applyBorder="1" applyAlignment="1">
      <alignment horizontal="left" vertical="center" shrinkToFit="1"/>
    </xf>
    <xf numFmtId="0" fontId="11" fillId="0" borderId="29" xfId="0" applyFont="1" applyBorder="1" applyAlignment="1">
      <alignment vertical="center" wrapText="1"/>
    </xf>
    <xf numFmtId="0" fontId="11" fillId="0" borderId="0" xfId="0" applyFont="1" applyFill="1" applyBorder="1" applyAlignment="1">
      <alignment vertical="center" wrapText="1"/>
    </xf>
    <xf numFmtId="175" fontId="11" fillId="0" borderId="0" xfId="46" applyNumberFormat="1" applyFont="1" applyFill="1" applyBorder="1" applyAlignment="1">
      <alignment vertical="center"/>
    </xf>
    <xf numFmtId="175" fontId="11" fillId="0" borderId="0" xfId="46" applyNumberFormat="1" applyFont="1" applyBorder="1" applyAlignment="1">
      <alignment horizontal="left" vertical="center" shrinkToFit="1"/>
    </xf>
    <xf numFmtId="172" fontId="35" fillId="0" borderId="0" xfId="46" applyNumberFormat="1" applyFont="1" applyFill="1" applyBorder="1" applyAlignment="1">
      <alignment horizontal="left" vertical="center" shrinkToFit="1"/>
    </xf>
    <xf numFmtId="0" fontId="11" fillId="0" borderId="34" xfId="0" applyFont="1" applyBorder="1" applyAlignment="1">
      <alignment vertical="center" wrapText="1"/>
    </xf>
    <xf numFmtId="0" fontId="11" fillId="0" borderId="56" xfId="0" applyFont="1" applyBorder="1" applyAlignment="1">
      <alignment vertical="center"/>
    </xf>
    <xf numFmtId="0" fontId="11" fillId="0" borderId="57" xfId="0" applyFont="1" applyBorder="1" applyAlignment="1">
      <alignment vertical="center"/>
    </xf>
    <xf numFmtId="0" fontId="11" fillId="0" borderId="26" xfId="0" applyFont="1" applyBorder="1" applyAlignment="1">
      <alignment horizontal="center" vertical="center"/>
    </xf>
    <xf numFmtId="175" fontId="11" fillId="0" borderId="55" xfId="46" applyNumberFormat="1" applyFont="1" applyBorder="1" applyAlignment="1">
      <alignment vertical="center"/>
    </xf>
    <xf numFmtId="175" fontId="11" fillId="0" borderId="11" xfId="46" applyNumberFormat="1" applyFont="1" applyBorder="1" applyAlignment="1">
      <alignment horizontal="left" vertical="center" shrinkToFit="1"/>
    </xf>
    <xf numFmtId="172" fontId="11" fillId="0" borderId="55" xfId="46" applyNumberFormat="1" applyFont="1" applyFill="1" applyBorder="1" applyAlignment="1">
      <alignment vertical="center"/>
    </xf>
    <xf numFmtId="0" fontId="11" fillId="0" borderId="11" xfId="0" applyFont="1" applyFill="1" applyBorder="1" applyAlignment="1">
      <alignment horizontal="left" vertical="center" shrinkToFit="1"/>
    </xf>
    <xf numFmtId="175" fontId="14" fillId="0" borderId="0" xfId="48" applyNumberFormat="1" applyFont="1" applyBorder="1" applyAlignment="1">
      <alignment vertical="center"/>
    </xf>
    <xf numFmtId="175" fontId="36" fillId="0" borderId="0" xfId="48" applyNumberFormat="1" applyFont="1" applyBorder="1" applyAlignment="1">
      <alignment vertical="center"/>
    </xf>
    <xf numFmtId="173" fontId="11" fillId="0" borderId="0" xfId="46" applyFont="1" applyBorder="1" applyAlignment="1">
      <alignment horizontal="center" vertical="center"/>
    </xf>
    <xf numFmtId="177" fontId="11" fillId="0" borderId="0" xfId="52" applyNumberFormat="1" applyFont="1" applyBorder="1" applyAlignment="1">
      <alignment vertical="center"/>
    </xf>
    <xf numFmtId="175" fontId="11" fillId="0" borderId="0" xfId="46" applyNumberFormat="1" applyFont="1" applyBorder="1" applyAlignment="1">
      <alignment vertical="center"/>
    </xf>
    <xf numFmtId="176" fontId="11" fillId="33" borderId="0" xfId="46" applyNumberFormat="1" applyFont="1" applyFill="1" applyBorder="1" applyAlignment="1">
      <alignment vertical="center"/>
    </xf>
    <xf numFmtId="172" fontId="11" fillId="33" borderId="0" xfId="46" applyNumberFormat="1" applyFont="1" applyFill="1" applyBorder="1" applyAlignment="1">
      <alignment horizontal="left" vertical="center" shrinkToFit="1"/>
    </xf>
    <xf numFmtId="0" fontId="33" fillId="34" borderId="58" xfId="0" applyFont="1" applyFill="1" applyBorder="1" applyAlignment="1">
      <alignment horizontal="center" vertical="center"/>
    </xf>
    <xf numFmtId="0" fontId="10" fillId="0" borderId="0" xfId="0" applyFont="1" applyFill="1" applyBorder="1" applyAlignment="1">
      <alignment horizontal="justify" vertical="center" wrapText="1"/>
    </xf>
    <xf numFmtId="0" fontId="10" fillId="0" borderId="0" xfId="0" applyFont="1" applyFill="1" applyBorder="1" applyAlignment="1">
      <alignment vertical="center" wrapText="1"/>
    </xf>
    <xf numFmtId="0" fontId="12" fillId="0" borderId="0" xfId="0" applyFont="1" applyFill="1" applyBorder="1" applyAlignment="1">
      <alignment horizontal="justify" vertical="center" wrapText="1"/>
    </xf>
    <xf numFmtId="49" fontId="12" fillId="0" borderId="0" xfId="0" applyNumberFormat="1" applyFont="1" applyFill="1" applyBorder="1" applyAlignment="1">
      <alignment horizontal="justify" vertical="center" wrapText="1"/>
    </xf>
    <xf numFmtId="0" fontId="10" fillId="0" borderId="0" xfId="0" applyFont="1" applyFill="1" applyBorder="1" applyAlignment="1">
      <alignment horizontal="left" vertical="center" shrinkToFit="1"/>
    </xf>
    <xf numFmtId="0" fontId="12" fillId="36" borderId="0" xfId="0" applyFont="1" applyFill="1" applyBorder="1" applyAlignment="1">
      <alignment horizontal="justify" vertical="center" wrapText="1"/>
    </xf>
    <xf numFmtId="0" fontId="37" fillId="0" borderId="0" xfId="0" applyFont="1" applyFill="1" applyBorder="1" applyAlignment="1">
      <alignment horizontal="justify" vertical="center" wrapText="1"/>
    </xf>
    <xf numFmtId="0" fontId="14" fillId="0" borderId="0" xfId="0" applyFont="1" applyBorder="1" applyAlignment="1">
      <alignment/>
    </xf>
    <xf numFmtId="0" fontId="10" fillId="0" borderId="0" xfId="0" applyFont="1" applyBorder="1" applyAlignment="1">
      <alignment/>
    </xf>
    <xf numFmtId="43" fontId="11" fillId="0" borderId="0" xfId="0" applyNumberFormat="1" applyFont="1" applyBorder="1" applyAlignment="1">
      <alignment horizontal="center" vertical="center"/>
    </xf>
    <xf numFmtId="173" fontId="56" fillId="33" borderId="0" xfId="46" applyFont="1" applyFill="1" applyBorder="1" applyAlignment="1">
      <alignment vertical="center"/>
    </xf>
    <xf numFmtId="0" fontId="12" fillId="0" borderId="0" xfId="0" applyFont="1" applyFill="1" applyBorder="1" applyAlignment="1">
      <alignment vertical="center" wrapText="1"/>
    </xf>
    <xf numFmtId="175" fontId="10" fillId="33" borderId="0" xfId="0" applyNumberFormat="1" applyFont="1" applyFill="1" applyBorder="1" applyAlignment="1">
      <alignment vertical="center"/>
    </xf>
    <xf numFmtId="0" fontId="11" fillId="0" borderId="39" xfId="0" applyFont="1" applyFill="1" applyBorder="1" applyAlignment="1">
      <alignment vertical="center" wrapText="1"/>
    </xf>
    <xf numFmtId="172" fontId="15" fillId="0" borderId="45" xfId="46" applyNumberFormat="1" applyFont="1" applyFill="1" applyBorder="1" applyAlignment="1">
      <alignment vertical="center"/>
    </xf>
    <xf numFmtId="0" fontId="11" fillId="0" borderId="59" xfId="0" applyFont="1" applyBorder="1" applyAlignment="1">
      <alignment vertical="center"/>
    </xf>
    <xf numFmtId="0" fontId="11" fillId="0" borderId="25" xfId="0" applyFont="1" applyBorder="1" applyAlignment="1">
      <alignment vertical="center"/>
    </xf>
    <xf numFmtId="0" fontId="11" fillId="0" borderId="25" xfId="0" applyFont="1" applyBorder="1" applyAlignment="1">
      <alignment horizontal="center" vertical="center"/>
    </xf>
    <xf numFmtId="175" fontId="11" fillId="0" borderId="25" xfId="46" applyNumberFormat="1" applyFont="1" applyBorder="1" applyAlignment="1">
      <alignment vertical="center"/>
    </xf>
    <xf numFmtId="175" fontId="11" fillId="0" borderId="25" xfId="46" applyNumberFormat="1" applyFont="1" applyBorder="1" applyAlignment="1">
      <alignment horizontal="left" vertical="center" shrinkToFit="1"/>
    </xf>
    <xf numFmtId="172" fontId="11" fillId="0" borderId="25" xfId="46" applyNumberFormat="1" applyFont="1" applyFill="1" applyBorder="1" applyAlignment="1">
      <alignment vertical="center"/>
    </xf>
    <xf numFmtId="0" fontId="11" fillId="0" borderId="60" xfId="0" applyFont="1" applyFill="1" applyBorder="1" applyAlignment="1">
      <alignment horizontal="left" vertical="center" shrinkToFit="1"/>
    </xf>
    <xf numFmtId="172" fontId="11" fillId="0" borderId="0" xfId="46" applyNumberFormat="1" applyFont="1" applyFill="1" applyBorder="1" applyAlignment="1">
      <alignment vertical="center"/>
    </xf>
    <xf numFmtId="0" fontId="11" fillId="0" borderId="26" xfId="0" applyFont="1" applyBorder="1" applyAlignment="1">
      <alignment vertical="center" wrapText="1"/>
    </xf>
    <xf numFmtId="0" fontId="11" fillId="36" borderId="27" xfId="0" applyFont="1" applyFill="1" applyBorder="1" applyAlignment="1">
      <alignment vertical="center"/>
    </xf>
    <xf numFmtId="0" fontId="11" fillId="36" borderId="28" xfId="0" applyFont="1" applyFill="1" applyBorder="1" applyAlignment="1">
      <alignment vertical="center"/>
    </xf>
    <xf numFmtId="0" fontId="11" fillId="36" borderId="44" xfId="0" applyFont="1" applyFill="1" applyBorder="1" applyAlignment="1">
      <alignment vertical="center" wrapText="1"/>
    </xf>
    <xf numFmtId="172" fontId="15" fillId="36" borderId="45" xfId="46" applyNumberFormat="1" applyFont="1" applyFill="1" applyBorder="1" applyAlignment="1">
      <alignment vertical="center"/>
    </xf>
    <xf numFmtId="0" fontId="11" fillId="36" borderId="32" xfId="0" applyFont="1" applyFill="1" applyBorder="1" applyAlignment="1">
      <alignment vertical="center"/>
    </xf>
    <xf numFmtId="0" fontId="11" fillId="36" borderId="33" xfId="0" applyFont="1" applyFill="1" applyBorder="1" applyAlignment="1">
      <alignment vertical="center"/>
    </xf>
    <xf numFmtId="0" fontId="11" fillId="36" borderId="56" xfId="0" applyFont="1" applyFill="1" applyBorder="1" applyAlignment="1">
      <alignment vertical="center"/>
    </xf>
    <xf numFmtId="0" fontId="11" fillId="36" borderId="57" xfId="0" applyFont="1" applyFill="1" applyBorder="1" applyAlignment="1">
      <alignment vertical="center"/>
    </xf>
    <xf numFmtId="0" fontId="11" fillId="36" borderId="26" xfId="0" applyFont="1" applyFill="1" applyBorder="1" applyAlignment="1">
      <alignment horizontal="center" vertical="center"/>
    </xf>
    <xf numFmtId="0" fontId="11" fillId="36" borderId="34" xfId="0" applyFont="1" applyFill="1" applyBorder="1" applyAlignment="1">
      <alignment vertical="center"/>
    </xf>
    <xf numFmtId="0" fontId="11" fillId="36" borderId="34" xfId="0" applyFont="1" applyFill="1" applyBorder="1" applyAlignment="1">
      <alignment horizontal="center" vertical="center"/>
    </xf>
    <xf numFmtId="175" fontId="11" fillId="36" borderId="55" xfId="46" applyNumberFormat="1" applyFont="1" applyFill="1" applyBorder="1" applyAlignment="1">
      <alignment vertical="center"/>
    </xf>
    <xf numFmtId="175" fontId="11" fillId="36" borderId="11" xfId="46" applyNumberFormat="1" applyFont="1" applyFill="1" applyBorder="1" applyAlignment="1">
      <alignment horizontal="left" vertical="center" shrinkToFit="1"/>
    </xf>
    <xf numFmtId="172" fontId="11" fillId="36" borderId="55" xfId="46" applyNumberFormat="1" applyFont="1" applyFill="1" applyBorder="1" applyAlignment="1">
      <alignment vertical="center"/>
    </xf>
    <xf numFmtId="0" fontId="11" fillId="36" borderId="11" xfId="0" applyFont="1" applyFill="1" applyBorder="1" applyAlignment="1">
      <alignment horizontal="left" vertical="center" shrinkToFit="1"/>
    </xf>
    <xf numFmtId="0" fontId="33" fillId="37" borderId="61" xfId="0" applyFont="1" applyFill="1" applyBorder="1" applyAlignment="1">
      <alignment horizontal="left" vertical="center"/>
    </xf>
    <xf numFmtId="0" fontId="33" fillId="37" borderId="62" xfId="0" applyFont="1" applyFill="1" applyBorder="1" applyAlignment="1">
      <alignment horizontal="left" vertical="center"/>
    </xf>
    <xf numFmtId="0" fontId="33" fillId="37" borderId="63" xfId="0" applyFont="1" applyFill="1" applyBorder="1" applyAlignment="1">
      <alignment horizontal="left" vertical="center"/>
    </xf>
    <xf numFmtId="0" fontId="57" fillId="34" borderId="55" xfId="0" applyFont="1" applyFill="1" applyBorder="1" applyAlignment="1">
      <alignment horizontal="left" vertical="center"/>
    </xf>
    <xf numFmtId="0" fontId="57" fillId="34" borderId="10" xfId="0" applyFont="1" applyFill="1" applyBorder="1" applyAlignment="1">
      <alignment horizontal="left" vertical="center"/>
    </xf>
    <xf numFmtId="0" fontId="10" fillId="0" borderId="0" xfId="0" applyFont="1" applyFill="1" applyBorder="1" applyAlignment="1">
      <alignment horizontal="left" vertical="center" wrapText="1"/>
    </xf>
    <xf numFmtId="0" fontId="35" fillId="36" borderId="55" xfId="0" applyFont="1" applyFill="1" applyBorder="1" applyAlignment="1">
      <alignment vertical="center"/>
    </xf>
    <xf numFmtId="0" fontId="35" fillId="36" borderId="10" xfId="0" applyFont="1" applyFill="1" applyBorder="1" applyAlignment="1">
      <alignment vertical="center"/>
    </xf>
    <xf numFmtId="0" fontId="35" fillId="36" borderId="11" xfId="0" applyFont="1" applyFill="1" applyBorder="1" applyAlignment="1">
      <alignment vertical="center"/>
    </xf>
    <xf numFmtId="0" fontId="10" fillId="0" borderId="0" xfId="0" applyFont="1" applyFill="1" applyBorder="1" applyAlignment="1">
      <alignment horizontal="justify" vertical="center" wrapText="1"/>
    </xf>
    <xf numFmtId="0" fontId="14"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5" fillId="38" borderId="55" xfId="0" applyFont="1" applyFill="1" applyBorder="1" applyAlignment="1">
      <alignment vertical="center"/>
    </xf>
    <xf numFmtId="0" fontId="35" fillId="38" borderId="10" xfId="0" applyFont="1" applyFill="1" applyBorder="1" applyAlignment="1">
      <alignment vertical="center"/>
    </xf>
    <xf numFmtId="0" fontId="35" fillId="38" borderId="11" xfId="0" applyFont="1" applyFill="1" applyBorder="1" applyAlignment="1">
      <alignment vertical="center"/>
    </xf>
    <xf numFmtId="0" fontId="33" fillId="34" borderId="58" xfId="0" applyFont="1" applyFill="1" applyBorder="1" applyAlignment="1">
      <alignment horizontal="center" vertical="center"/>
    </xf>
    <xf numFmtId="0" fontId="33" fillId="34" borderId="58" xfId="0" applyFont="1" applyFill="1" applyBorder="1" applyAlignment="1">
      <alignment horizontal="center" vertical="center" wrapText="1"/>
    </xf>
    <xf numFmtId="0" fontId="9" fillId="0" borderId="0" xfId="0" applyFont="1" applyBorder="1" applyAlignment="1">
      <alignment horizontal="center" vertical="center"/>
    </xf>
    <xf numFmtId="172" fontId="11" fillId="36" borderId="45" xfId="46" applyNumberFormat="1" applyFont="1" applyFill="1" applyBorder="1" applyAlignment="1">
      <alignment horizontal="right" vertical="center"/>
    </xf>
    <xf numFmtId="175" fontId="11" fillId="0" borderId="45" xfId="46" applyNumberFormat="1" applyFont="1" applyBorder="1" applyAlignment="1">
      <alignment horizontal="righ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726"/>
  <sheetViews>
    <sheetView showGridLines="0" tabSelected="1" zoomScaleSheetLayoutView="100" zoomScalePageLayoutView="0" workbookViewId="0" topLeftCell="A556">
      <selection activeCell="H565" sqref="H565"/>
    </sheetView>
  </sheetViews>
  <sheetFormatPr defaultColWidth="9.140625" defaultRowHeight="15.75" customHeight="1"/>
  <cols>
    <col min="1" max="1" width="4.57421875" style="4" customWidth="1"/>
    <col min="2" max="2" width="4.140625" style="4" bestFit="1" customWidth="1"/>
    <col min="3" max="3" width="14.28125" style="8" customWidth="1"/>
    <col min="4" max="4" width="69.28125" style="4" customWidth="1"/>
    <col min="5" max="5" width="17.7109375" style="8" customWidth="1"/>
    <col min="6" max="6" width="16.8515625" style="6" bestFit="1" customWidth="1"/>
    <col min="7" max="7" width="3.8515625" style="15" customWidth="1"/>
    <col min="8" max="8" width="17.57421875" style="6" customWidth="1"/>
    <col min="9" max="9" width="3.8515625" style="16" customWidth="1"/>
    <col min="10" max="10" width="17.421875" style="18" customWidth="1"/>
    <col min="11" max="11" width="20.00390625" style="3" customWidth="1"/>
    <col min="12" max="21" width="9.140625" style="3" customWidth="1"/>
    <col min="22" max="38" width="9.140625" style="1" customWidth="1"/>
    <col min="39" max="114" width="9.140625" style="2" customWidth="1"/>
    <col min="115" max="16384" width="9.140625" style="4" customWidth="1"/>
  </cols>
  <sheetData>
    <row r="1" spans="1:9" ht="15.75" customHeight="1">
      <c r="A1" s="5"/>
      <c r="B1" s="5"/>
      <c r="C1" s="7"/>
      <c r="D1" s="5"/>
      <c r="E1" s="7"/>
      <c r="F1" s="9"/>
      <c r="G1" s="12"/>
      <c r="H1" s="9"/>
      <c r="I1" s="13"/>
    </row>
    <row r="2" spans="1:9" ht="15.75" customHeight="1">
      <c r="A2" s="5"/>
      <c r="B2" s="5"/>
      <c r="C2" s="20" t="s">
        <v>1118</v>
      </c>
      <c r="D2" s="5"/>
      <c r="E2" s="7"/>
      <c r="F2" s="9"/>
      <c r="G2" s="12"/>
      <c r="H2" s="9"/>
      <c r="I2" s="13"/>
    </row>
    <row r="3" spans="1:9" ht="15.75" customHeight="1">
      <c r="A3" s="5"/>
      <c r="B3" s="5"/>
      <c r="C3" s="21" t="s">
        <v>854</v>
      </c>
      <c r="D3" s="5"/>
      <c r="E3" s="7"/>
      <c r="F3" s="9"/>
      <c r="G3" s="12"/>
      <c r="H3" s="9"/>
      <c r="I3" s="13"/>
    </row>
    <row r="4" spans="1:9" ht="18.75" customHeight="1" thickBot="1">
      <c r="A4" s="296"/>
      <c r="B4" s="296"/>
      <c r="C4" s="296"/>
      <c r="D4" s="296"/>
      <c r="E4" s="296"/>
      <c r="F4" s="296"/>
      <c r="G4" s="296"/>
      <c r="H4" s="296"/>
      <c r="I4" s="296"/>
    </row>
    <row r="5" spans="1:114" s="35" customFormat="1" ht="43.5" customHeight="1" thickBot="1">
      <c r="A5" s="294" t="s">
        <v>655</v>
      </c>
      <c r="B5" s="294"/>
      <c r="C5" s="239" t="s">
        <v>592</v>
      </c>
      <c r="D5" s="239" t="s">
        <v>515</v>
      </c>
      <c r="E5" s="239" t="s">
        <v>593</v>
      </c>
      <c r="F5" s="294" t="s">
        <v>1018</v>
      </c>
      <c r="G5" s="294"/>
      <c r="H5" s="295" t="s">
        <v>1020</v>
      </c>
      <c r="I5" s="295"/>
      <c r="J5" s="31"/>
      <c r="K5" s="32"/>
      <c r="L5" s="32"/>
      <c r="M5" s="32"/>
      <c r="N5" s="32"/>
      <c r="O5" s="32"/>
      <c r="P5" s="32"/>
      <c r="Q5" s="32"/>
      <c r="R5" s="32"/>
      <c r="S5" s="32"/>
      <c r="T5" s="32"/>
      <c r="U5" s="32"/>
      <c r="V5" s="33"/>
      <c r="W5" s="33"/>
      <c r="X5" s="33"/>
      <c r="Y5" s="33"/>
      <c r="Z5" s="33"/>
      <c r="AA5" s="33"/>
      <c r="AB5" s="33"/>
      <c r="AC5" s="33"/>
      <c r="AD5" s="33"/>
      <c r="AE5" s="33"/>
      <c r="AF5" s="33"/>
      <c r="AG5" s="33"/>
      <c r="AH5" s="33"/>
      <c r="AI5" s="33"/>
      <c r="AJ5" s="33"/>
      <c r="AK5" s="33"/>
      <c r="AL5" s="33"/>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row>
    <row r="6" spans="1:114" s="38" customFormat="1" ht="24.75" customHeight="1" thickBot="1">
      <c r="A6" s="279" t="s">
        <v>600</v>
      </c>
      <c r="B6" s="280"/>
      <c r="C6" s="280"/>
      <c r="D6" s="280"/>
      <c r="E6" s="280"/>
      <c r="F6" s="280"/>
      <c r="G6" s="280"/>
      <c r="H6" s="280"/>
      <c r="I6" s="281"/>
      <c r="J6" s="37"/>
      <c r="K6" s="27"/>
      <c r="L6" s="27"/>
      <c r="M6" s="27"/>
      <c r="N6" s="27"/>
      <c r="O6" s="27"/>
      <c r="P6" s="27"/>
      <c r="Q6" s="27"/>
      <c r="R6" s="27"/>
      <c r="S6" s="27"/>
      <c r="T6" s="27"/>
      <c r="U6" s="27"/>
      <c r="V6" s="28"/>
      <c r="W6" s="28"/>
      <c r="X6" s="28"/>
      <c r="Y6" s="28"/>
      <c r="Z6" s="28"/>
      <c r="AA6" s="28"/>
      <c r="AB6" s="28"/>
      <c r="AC6" s="28"/>
      <c r="AD6" s="28"/>
      <c r="AE6" s="28"/>
      <c r="AF6" s="28"/>
      <c r="AG6" s="28"/>
      <c r="AH6" s="28"/>
      <c r="AI6" s="28"/>
      <c r="AJ6" s="28"/>
      <c r="AK6" s="28"/>
      <c r="AL6" s="28"/>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row>
    <row r="7" spans="1:114" s="42" customFormat="1" ht="19.5" customHeight="1">
      <c r="A7" s="285" t="s">
        <v>240</v>
      </c>
      <c r="B7" s="286"/>
      <c r="C7" s="286"/>
      <c r="D7" s="286"/>
      <c r="E7" s="286"/>
      <c r="F7" s="286"/>
      <c r="G7" s="286"/>
      <c r="H7" s="286"/>
      <c r="I7" s="287"/>
      <c r="J7" s="39"/>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row>
    <row r="8" spans="1:114" s="38" customFormat="1" ht="15.75" customHeight="1">
      <c r="A8" s="291">
        <v>1991</v>
      </c>
      <c r="B8" s="292"/>
      <c r="C8" s="292"/>
      <c r="D8" s="292"/>
      <c r="E8" s="292"/>
      <c r="F8" s="292"/>
      <c r="G8" s="292"/>
      <c r="H8" s="292"/>
      <c r="I8" s="293"/>
      <c r="J8" s="37"/>
      <c r="K8" s="27"/>
      <c r="L8" s="27"/>
      <c r="M8" s="27"/>
      <c r="N8" s="27"/>
      <c r="O8" s="27"/>
      <c r="P8" s="27"/>
      <c r="Q8" s="27"/>
      <c r="R8" s="27"/>
      <c r="S8" s="27"/>
      <c r="T8" s="27"/>
      <c r="U8" s="27"/>
      <c r="V8" s="28"/>
      <c r="W8" s="28"/>
      <c r="X8" s="28"/>
      <c r="Y8" s="28"/>
      <c r="Z8" s="28"/>
      <c r="AA8" s="28"/>
      <c r="AB8" s="28"/>
      <c r="AC8" s="28"/>
      <c r="AD8" s="28"/>
      <c r="AE8" s="28"/>
      <c r="AF8" s="28"/>
      <c r="AG8" s="28"/>
      <c r="AH8" s="28"/>
      <c r="AI8" s="28"/>
      <c r="AJ8" s="28"/>
      <c r="AK8" s="28"/>
      <c r="AL8" s="28"/>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row>
    <row r="9" spans="1:114" s="38" customFormat="1" ht="15.75" customHeight="1">
      <c r="A9" s="75">
        <v>1</v>
      </c>
      <c r="B9" s="76">
        <v>1</v>
      </c>
      <c r="C9" s="77" t="s">
        <v>601</v>
      </c>
      <c r="D9" s="78" t="s">
        <v>669</v>
      </c>
      <c r="E9" s="77" t="s">
        <v>670</v>
      </c>
      <c r="F9" s="79">
        <v>1083140</v>
      </c>
      <c r="G9" s="80"/>
      <c r="H9" s="79"/>
      <c r="I9" s="81"/>
      <c r="J9" s="26"/>
      <c r="K9" s="27"/>
      <c r="L9" s="27"/>
      <c r="M9" s="27"/>
      <c r="N9" s="27"/>
      <c r="O9" s="27"/>
      <c r="P9" s="27"/>
      <c r="Q9" s="27"/>
      <c r="R9" s="27"/>
      <c r="S9" s="27"/>
      <c r="T9" s="27"/>
      <c r="U9" s="27"/>
      <c r="V9" s="28"/>
      <c r="W9" s="28"/>
      <c r="X9" s="28"/>
      <c r="Y9" s="28"/>
      <c r="Z9" s="28"/>
      <c r="AA9" s="28"/>
      <c r="AB9" s="28"/>
      <c r="AC9" s="28"/>
      <c r="AD9" s="28"/>
      <c r="AE9" s="28"/>
      <c r="AF9" s="28"/>
      <c r="AG9" s="28"/>
      <c r="AH9" s="28"/>
      <c r="AI9" s="28"/>
      <c r="AJ9" s="28"/>
      <c r="AK9" s="28"/>
      <c r="AL9" s="28"/>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row>
    <row r="10" spans="1:114" s="38" customFormat="1" ht="15.75" customHeight="1">
      <c r="A10" s="82">
        <f>A9+1</f>
        <v>2</v>
      </c>
      <c r="B10" s="83">
        <v>2</v>
      </c>
      <c r="C10" s="84" t="s">
        <v>671</v>
      </c>
      <c r="D10" s="85" t="s">
        <v>672</v>
      </c>
      <c r="E10" s="84" t="s">
        <v>597</v>
      </c>
      <c r="F10" s="86">
        <v>1510707</v>
      </c>
      <c r="G10" s="87"/>
      <c r="H10" s="88"/>
      <c r="I10" s="89"/>
      <c r="J10" s="26"/>
      <c r="K10" s="27"/>
      <c r="L10" s="27"/>
      <c r="M10" s="27"/>
      <c r="N10" s="27"/>
      <c r="O10" s="27"/>
      <c r="P10" s="27"/>
      <c r="Q10" s="27"/>
      <c r="R10" s="27"/>
      <c r="S10" s="27"/>
      <c r="T10" s="27"/>
      <c r="U10" s="27"/>
      <c r="V10" s="28"/>
      <c r="W10" s="28"/>
      <c r="X10" s="28"/>
      <c r="Y10" s="28"/>
      <c r="Z10" s="28"/>
      <c r="AA10" s="28"/>
      <c r="AB10" s="28"/>
      <c r="AC10" s="28"/>
      <c r="AD10" s="28"/>
      <c r="AE10" s="28"/>
      <c r="AF10" s="28"/>
      <c r="AG10" s="28"/>
      <c r="AH10" s="28"/>
      <c r="AI10" s="28"/>
      <c r="AJ10" s="28"/>
      <c r="AK10" s="28"/>
      <c r="AL10" s="28"/>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row>
    <row r="11" spans="1:114" s="30" customFormat="1" ht="15.75" customHeight="1">
      <c r="A11" s="282" t="s">
        <v>673</v>
      </c>
      <c r="B11" s="283"/>
      <c r="C11" s="283"/>
      <c r="D11" s="283"/>
      <c r="E11" s="22"/>
      <c r="F11" s="23">
        <f>SUM(F9:F10)</f>
        <v>2593847</v>
      </c>
      <c r="G11" s="23"/>
      <c r="H11" s="24"/>
      <c r="I11" s="25"/>
      <c r="J11" s="26"/>
      <c r="K11" s="27"/>
      <c r="L11" s="27"/>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row>
    <row r="12" spans="1:114" s="38" customFormat="1" ht="5.25" customHeight="1">
      <c r="A12" s="90"/>
      <c r="B12" s="90"/>
      <c r="C12" s="91"/>
      <c r="D12" s="90"/>
      <c r="E12" s="92"/>
      <c r="F12" s="93"/>
      <c r="G12" s="94"/>
      <c r="H12" s="95"/>
      <c r="I12" s="96"/>
      <c r="J12" s="26"/>
      <c r="K12" s="27"/>
      <c r="L12" s="27"/>
      <c r="M12" s="27"/>
      <c r="N12" s="27"/>
      <c r="O12" s="27"/>
      <c r="P12" s="27"/>
      <c r="Q12" s="27"/>
      <c r="R12" s="27"/>
      <c r="S12" s="27"/>
      <c r="T12" s="27"/>
      <c r="U12" s="27"/>
      <c r="V12" s="28"/>
      <c r="W12" s="28"/>
      <c r="X12" s="28"/>
      <c r="Y12" s="28"/>
      <c r="Z12" s="28"/>
      <c r="AA12" s="28"/>
      <c r="AB12" s="28"/>
      <c r="AC12" s="28"/>
      <c r="AD12" s="28"/>
      <c r="AE12" s="28"/>
      <c r="AF12" s="28"/>
      <c r="AG12" s="28"/>
      <c r="AH12" s="28"/>
      <c r="AI12" s="28"/>
      <c r="AJ12" s="28"/>
      <c r="AK12" s="28"/>
      <c r="AL12" s="28"/>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row>
    <row r="13" spans="1:114" s="42" customFormat="1" ht="15.75" customHeight="1">
      <c r="A13" s="285" t="s">
        <v>241</v>
      </c>
      <c r="B13" s="286"/>
      <c r="C13" s="286"/>
      <c r="D13" s="286"/>
      <c r="E13" s="286"/>
      <c r="F13" s="286"/>
      <c r="G13" s="286"/>
      <c r="H13" s="286"/>
      <c r="I13" s="287"/>
      <c r="J13" s="65"/>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row>
    <row r="14" spans="1:114" s="38" customFormat="1" ht="15.75" customHeight="1">
      <c r="A14" s="291">
        <v>1992</v>
      </c>
      <c r="B14" s="292"/>
      <c r="C14" s="292"/>
      <c r="D14" s="292"/>
      <c r="E14" s="292"/>
      <c r="F14" s="292"/>
      <c r="G14" s="292"/>
      <c r="H14" s="292"/>
      <c r="I14" s="293"/>
      <c r="J14" s="26"/>
      <c r="K14" s="27"/>
      <c r="L14" s="27"/>
      <c r="M14" s="27"/>
      <c r="N14" s="27"/>
      <c r="O14" s="27"/>
      <c r="P14" s="27"/>
      <c r="Q14" s="27"/>
      <c r="R14" s="27"/>
      <c r="S14" s="27"/>
      <c r="T14" s="27"/>
      <c r="U14" s="27"/>
      <c r="V14" s="28"/>
      <c r="W14" s="28"/>
      <c r="X14" s="28"/>
      <c r="Y14" s="28"/>
      <c r="Z14" s="28"/>
      <c r="AA14" s="28"/>
      <c r="AB14" s="28"/>
      <c r="AC14" s="28"/>
      <c r="AD14" s="28"/>
      <c r="AE14" s="28"/>
      <c r="AF14" s="28"/>
      <c r="AG14" s="28"/>
      <c r="AH14" s="28"/>
      <c r="AI14" s="28"/>
      <c r="AJ14" s="28"/>
      <c r="AK14" s="28"/>
      <c r="AL14" s="28"/>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row>
    <row r="15" spans="1:114" s="38" customFormat="1" ht="15.75" customHeight="1">
      <c r="A15" s="97">
        <f>1</f>
        <v>1</v>
      </c>
      <c r="B15" s="76">
        <v>1</v>
      </c>
      <c r="C15" s="77" t="s">
        <v>674</v>
      </c>
      <c r="D15" s="78" t="s">
        <v>675</v>
      </c>
      <c r="E15" s="77" t="s">
        <v>597</v>
      </c>
      <c r="F15" s="98">
        <v>1291101</v>
      </c>
      <c r="G15" s="99"/>
      <c r="H15" s="79"/>
      <c r="I15" s="81"/>
      <c r="J15" s="26"/>
      <c r="K15" s="27"/>
      <c r="L15" s="27"/>
      <c r="M15" s="27"/>
      <c r="N15" s="27"/>
      <c r="O15" s="27"/>
      <c r="P15" s="27"/>
      <c r="Q15" s="27"/>
      <c r="R15" s="27"/>
      <c r="S15" s="27"/>
      <c r="T15" s="27"/>
      <c r="U15" s="27"/>
      <c r="V15" s="28"/>
      <c r="W15" s="28"/>
      <c r="X15" s="28"/>
      <c r="Y15" s="28"/>
      <c r="Z15" s="28"/>
      <c r="AA15" s="28"/>
      <c r="AB15" s="28"/>
      <c r="AC15" s="28"/>
      <c r="AD15" s="28"/>
      <c r="AE15" s="28"/>
      <c r="AF15" s="28"/>
      <c r="AG15" s="28"/>
      <c r="AH15" s="28"/>
      <c r="AI15" s="28"/>
      <c r="AJ15" s="28"/>
      <c r="AK15" s="28"/>
      <c r="AL15" s="28"/>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row>
    <row r="16" spans="1:114" s="38" customFormat="1" ht="15.75" customHeight="1">
      <c r="A16" s="100">
        <f aca="true" t="shared" si="0" ref="A16:A24">A15+1</f>
        <v>2</v>
      </c>
      <c r="B16" s="101">
        <f aca="true" t="shared" si="1" ref="B16:B24">B15+1</f>
        <v>2</v>
      </c>
      <c r="C16" s="102" t="s">
        <v>676</v>
      </c>
      <c r="D16" s="103" t="s">
        <v>677</v>
      </c>
      <c r="E16" s="102" t="s">
        <v>670</v>
      </c>
      <c r="F16" s="104">
        <v>5365553</v>
      </c>
      <c r="G16" s="105"/>
      <c r="H16" s="106"/>
      <c r="I16" s="107"/>
      <c r="J16" s="26"/>
      <c r="K16" s="43"/>
      <c r="L16" s="27"/>
      <c r="M16" s="27"/>
      <c r="N16" s="27"/>
      <c r="O16" s="27"/>
      <c r="P16" s="27"/>
      <c r="Q16" s="27"/>
      <c r="R16" s="27"/>
      <c r="S16" s="27"/>
      <c r="T16" s="27"/>
      <c r="U16" s="27"/>
      <c r="V16" s="28"/>
      <c r="W16" s="28"/>
      <c r="X16" s="28"/>
      <c r="Y16" s="28"/>
      <c r="Z16" s="28"/>
      <c r="AA16" s="28"/>
      <c r="AB16" s="28"/>
      <c r="AC16" s="28"/>
      <c r="AD16" s="28"/>
      <c r="AE16" s="28"/>
      <c r="AF16" s="28"/>
      <c r="AG16" s="28"/>
      <c r="AH16" s="28"/>
      <c r="AI16" s="28"/>
      <c r="AJ16" s="28"/>
      <c r="AK16" s="28"/>
      <c r="AL16" s="28"/>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row>
    <row r="17" spans="1:114" s="30" customFormat="1" ht="15.75" customHeight="1">
      <c r="A17" s="108">
        <f t="shared" si="0"/>
        <v>3</v>
      </c>
      <c r="B17" s="109">
        <f t="shared" si="1"/>
        <v>3</v>
      </c>
      <c r="C17" s="110" t="s">
        <v>678</v>
      </c>
      <c r="D17" s="111" t="s">
        <v>679</v>
      </c>
      <c r="E17" s="110" t="s">
        <v>594</v>
      </c>
      <c r="F17" s="112">
        <f>26488036+11160406+1135934.3</f>
        <v>38784376.3</v>
      </c>
      <c r="G17" s="113"/>
      <c r="H17" s="106"/>
      <c r="I17" s="107"/>
      <c r="J17" s="26"/>
      <c r="K17" s="43"/>
      <c r="L17" s="27"/>
      <c r="M17" s="27"/>
      <c r="N17" s="27"/>
      <c r="O17" s="27"/>
      <c r="P17" s="27"/>
      <c r="Q17" s="27"/>
      <c r="R17" s="27"/>
      <c r="S17" s="27"/>
      <c r="T17" s="27"/>
      <c r="U17" s="27"/>
      <c r="V17" s="28"/>
      <c r="W17" s="28"/>
      <c r="X17" s="28"/>
      <c r="Y17" s="28"/>
      <c r="Z17" s="28"/>
      <c r="AA17" s="28"/>
      <c r="AB17" s="28"/>
      <c r="AC17" s="28"/>
      <c r="AD17" s="28"/>
      <c r="AE17" s="28"/>
      <c r="AF17" s="28"/>
      <c r="AG17" s="28"/>
      <c r="AH17" s="28"/>
      <c r="AI17" s="28"/>
      <c r="AJ17" s="28"/>
      <c r="AK17" s="28"/>
      <c r="AL17" s="28"/>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row>
    <row r="18" spans="1:114" s="38" customFormat="1" ht="15.75" customHeight="1">
      <c r="A18" s="100">
        <f t="shared" si="0"/>
        <v>4</v>
      </c>
      <c r="B18" s="101">
        <f t="shared" si="1"/>
        <v>4</v>
      </c>
      <c r="C18" s="102" t="s">
        <v>680</v>
      </c>
      <c r="D18" s="103" t="s">
        <v>681</v>
      </c>
      <c r="E18" s="102" t="s">
        <v>682</v>
      </c>
      <c r="F18" s="104">
        <v>806896</v>
      </c>
      <c r="G18" s="105"/>
      <c r="H18" s="106">
        <v>2000000</v>
      </c>
      <c r="I18" s="107"/>
      <c r="J18" s="26"/>
      <c r="K18" s="43"/>
      <c r="L18" s="27"/>
      <c r="M18" s="27"/>
      <c r="N18" s="27"/>
      <c r="O18" s="27"/>
      <c r="P18" s="27"/>
      <c r="Q18" s="27"/>
      <c r="R18" s="27"/>
      <c r="S18" s="27"/>
      <c r="T18" s="27"/>
      <c r="U18" s="27"/>
      <c r="V18" s="28"/>
      <c r="W18" s="28"/>
      <c r="X18" s="28"/>
      <c r="Y18" s="28"/>
      <c r="Z18" s="28"/>
      <c r="AA18" s="28"/>
      <c r="AB18" s="28"/>
      <c r="AC18" s="28"/>
      <c r="AD18" s="28"/>
      <c r="AE18" s="28"/>
      <c r="AF18" s="28"/>
      <c r="AG18" s="28"/>
      <c r="AH18" s="28"/>
      <c r="AI18" s="28"/>
      <c r="AJ18" s="28"/>
      <c r="AK18" s="28"/>
      <c r="AL18" s="28"/>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row>
    <row r="19" spans="1:114" s="38" customFormat="1" ht="15.75" customHeight="1">
      <c r="A19" s="100">
        <f t="shared" si="0"/>
        <v>5</v>
      </c>
      <c r="B19" s="101">
        <f t="shared" si="1"/>
        <v>5</v>
      </c>
      <c r="C19" s="102" t="s">
        <v>683</v>
      </c>
      <c r="D19" s="103" t="s">
        <v>684</v>
      </c>
      <c r="E19" s="102" t="s">
        <v>685</v>
      </c>
      <c r="F19" s="104">
        <v>6564611</v>
      </c>
      <c r="G19" s="105"/>
      <c r="H19" s="106"/>
      <c r="I19" s="107"/>
      <c r="J19" s="26"/>
      <c r="K19" s="43"/>
      <c r="L19" s="27"/>
      <c r="M19" s="27"/>
      <c r="N19" s="27"/>
      <c r="O19" s="27"/>
      <c r="P19" s="27"/>
      <c r="Q19" s="27"/>
      <c r="R19" s="27"/>
      <c r="S19" s="27"/>
      <c r="T19" s="27"/>
      <c r="U19" s="27"/>
      <c r="V19" s="28"/>
      <c r="W19" s="28"/>
      <c r="X19" s="28"/>
      <c r="Y19" s="28"/>
      <c r="Z19" s="28"/>
      <c r="AA19" s="28"/>
      <c r="AB19" s="28"/>
      <c r="AC19" s="28"/>
      <c r="AD19" s="28"/>
      <c r="AE19" s="28"/>
      <c r="AF19" s="28"/>
      <c r="AG19" s="28"/>
      <c r="AH19" s="28"/>
      <c r="AI19" s="28"/>
      <c r="AJ19" s="28"/>
      <c r="AK19" s="28"/>
      <c r="AL19" s="28"/>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row>
    <row r="20" spans="1:114" s="38" customFormat="1" ht="15.75" customHeight="1">
      <c r="A20" s="100">
        <f t="shared" si="0"/>
        <v>6</v>
      </c>
      <c r="B20" s="101">
        <f t="shared" si="1"/>
        <v>6</v>
      </c>
      <c r="C20" s="102" t="s">
        <v>686</v>
      </c>
      <c r="D20" s="103" t="s">
        <v>687</v>
      </c>
      <c r="E20" s="102" t="s">
        <v>688</v>
      </c>
      <c r="F20" s="104">
        <v>11066486</v>
      </c>
      <c r="G20" s="105"/>
      <c r="H20" s="106"/>
      <c r="I20" s="107"/>
      <c r="J20" s="26"/>
      <c r="K20" s="43"/>
      <c r="L20" s="27"/>
      <c r="M20" s="27"/>
      <c r="N20" s="27"/>
      <c r="O20" s="27"/>
      <c r="P20" s="27"/>
      <c r="Q20" s="27"/>
      <c r="R20" s="27"/>
      <c r="S20" s="27"/>
      <c r="T20" s="27"/>
      <c r="U20" s="27"/>
      <c r="V20" s="28"/>
      <c r="W20" s="28"/>
      <c r="X20" s="28"/>
      <c r="Y20" s="28"/>
      <c r="Z20" s="28"/>
      <c r="AA20" s="28"/>
      <c r="AB20" s="28"/>
      <c r="AC20" s="28"/>
      <c r="AD20" s="28"/>
      <c r="AE20" s="28"/>
      <c r="AF20" s="28"/>
      <c r="AG20" s="28"/>
      <c r="AH20" s="28"/>
      <c r="AI20" s="28"/>
      <c r="AJ20" s="28"/>
      <c r="AK20" s="28"/>
      <c r="AL20" s="28"/>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row>
    <row r="21" spans="1:114" s="38" customFormat="1" ht="15.75" customHeight="1">
      <c r="A21" s="100">
        <f t="shared" si="0"/>
        <v>7</v>
      </c>
      <c r="B21" s="101">
        <f t="shared" si="1"/>
        <v>7</v>
      </c>
      <c r="C21" s="102" t="s">
        <v>689</v>
      </c>
      <c r="D21" s="103" t="s">
        <v>690</v>
      </c>
      <c r="E21" s="102" t="s">
        <v>594</v>
      </c>
      <c r="F21" s="104">
        <v>7546655</v>
      </c>
      <c r="G21" s="105"/>
      <c r="H21" s="106">
        <v>5000000</v>
      </c>
      <c r="I21" s="107"/>
      <c r="J21" s="26"/>
      <c r="K21" s="43"/>
      <c r="L21" s="27"/>
      <c r="M21" s="27"/>
      <c r="N21" s="27"/>
      <c r="O21" s="27"/>
      <c r="P21" s="27"/>
      <c r="Q21" s="27"/>
      <c r="R21" s="27"/>
      <c r="S21" s="27"/>
      <c r="T21" s="27"/>
      <c r="U21" s="27"/>
      <c r="V21" s="28"/>
      <c r="W21" s="28"/>
      <c r="X21" s="28"/>
      <c r="Y21" s="28"/>
      <c r="Z21" s="28"/>
      <c r="AA21" s="28"/>
      <c r="AB21" s="28"/>
      <c r="AC21" s="28"/>
      <c r="AD21" s="28"/>
      <c r="AE21" s="28"/>
      <c r="AF21" s="28"/>
      <c r="AG21" s="28"/>
      <c r="AH21" s="28"/>
      <c r="AI21" s="28"/>
      <c r="AJ21" s="28"/>
      <c r="AK21" s="28"/>
      <c r="AL21" s="28"/>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row>
    <row r="22" spans="1:114" s="38" customFormat="1" ht="15.75" customHeight="1">
      <c r="A22" s="100">
        <f t="shared" si="0"/>
        <v>8</v>
      </c>
      <c r="B22" s="101">
        <f t="shared" si="1"/>
        <v>8</v>
      </c>
      <c r="C22" s="102" t="s">
        <v>691</v>
      </c>
      <c r="D22" s="103" t="s">
        <v>692</v>
      </c>
      <c r="E22" s="102" t="s">
        <v>693</v>
      </c>
      <c r="F22" s="104">
        <v>4100000</v>
      </c>
      <c r="G22" s="105"/>
      <c r="H22" s="106"/>
      <c r="I22" s="107"/>
      <c r="J22" s="26"/>
      <c r="K22" s="43"/>
      <c r="L22" s="27"/>
      <c r="M22" s="27"/>
      <c r="N22" s="27"/>
      <c r="O22" s="27"/>
      <c r="P22" s="27"/>
      <c r="Q22" s="27"/>
      <c r="R22" s="27"/>
      <c r="S22" s="27"/>
      <c r="T22" s="27"/>
      <c r="U22" s="27"/>
      <c r="V22" s="28"/>
      <c r="W22" s="28"/>
      <c r="X22" s="28"/>
      <c r="Y22" s="28"/>
      <c r="Z22" s="28"/>
      <c r="AA22" s="28"/>
      <c r="AB22" s="28"/>
      <c r="AC22" s="28"/>
      <c r="AD22" s="28"/>
      <c r="AE22" s="28"/>
      <c r="AF22" s="28"/>
      <c r="AG22" s="28"/>
      <c r="AH22" s="28"/>
      <c r="AI22" s="28"/>
      <c r="AJ22" s="28"/>
      <c r="AK22" s="28"/>
      <c r="AL22" s="28"/>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row>
    <row r="23" spans="1:114" s="38" customFormat="1" ht="15.75" customHeight="1">
      <c r="A23" s="114">
        <f t="shared" si="0"/>
        <v>9</v>
      </c>
      <c r="B23" s="101">
        <f t="shared" si="1"/>
        <v>9</v>
      </c>
      <c r="C23" s="102" t="s">
        <v>694</v>
      </c>
      <c r="D23" s="103" t="s">
        <v>695</v>
      </c>
      <c r="E23" s="102" t="s">
        <v>597</v>
      </c>
      <c r="F23" s="104">
        <v>120000000</v>
      </c>
      <c r="G23" s="105"/>
      <c r="H23" s="106">
        <v>137000000</v>
      </c>
      <c r="I23" s="115" t="s">
        <v>696</v>
      </c>
      <c r="J23" s="26"/>
      <c r="K23" s="43"/>
      <c r="L23" s="27"/>
      <c r="M23" s="27"/>
      <c r="N23" s="27"/>
      <c r="O23" s="27"/>
      <c r="P23" s="27"/>
      <c r="Q23" s="27"/>
      <c r="R23" s="27"/>
      <c r="S23" s="27"/>
      <c r="T23" s="27"/>
      <c r="U23" s="27"/>
      <c r="V23" s="28"/>
      <c r="W23" s="28"/>
      <c r="X23" s="28"/>
      <c r="Y23" s="28"/>
      <c r="Z23" s="28"/>
      <c r="AA23" s="28"/>
      <c r="AB23" s="28"/>
      <c r="AC23" s="28"/>
      <c r="AD23" s="28"/>
      <c r="AE23" s="28"/>
      <c r="AF23" s="28"/>
      <c r="AG23" s="28"/>
      <c r="AH23" s="28"/>
      <c r="AI23" s="28"/>
      <c r="AJ23" s="28"/>
      <c r="AK23" s="28"/>
      <c r="AL23" s="28"/>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row>
    <row r="24" spans="1:114" s="38" customFormat="1" ht="15.75" customHeight="1">
      <c r="A24" s="116">
        <f t="shared" si="0"/>
        <v>10</v>
      </c>
      <c r="B24" s="83">
        <f t="shared" si="1"/>
        <v>10</v>
      </c>
      <c r="C24" s="84" t="s">
        <v>697</v>
      </c>
      <c r="D24" s="85" t="s">
        <v>698</v>
      </c>
      <c r="E24" s="84" t="s">
        <v>597</v>
      </c>
      <c r="F24" s="86">
        <v>12000000</v>
      </c>
      <c r="G24" s="87"/>
      <c r="H24" s="88">
        <v>562000000</v>
      </c>
      <c r="I24" s="117"/>
      <c r="J24" s="26"/>
      <c r="K24" s="43"/>
      <c r="L24" s="27"/>
      <c r="M24" s="27"/>
      <c r="N24" s="27"/>
      <c r="O24" s="27"/>
      <c r="P24" s="27"/>
      <c r="Q24" s="27"/>
      <c r="R24" s="27"/>
      <c r="S24" s="27"/>
      <c r="T24" s="27"/>
      <c r="U24" s="27"/>
      <c r="V24" s="28"/>
      <c r="W24" s="28"/>
      <c r="X24" s="28"/>
      <c r="Y24" s="28"/>
      <c r="Z24" s="28"/>
      <c r="AA24" s="28"/>
      <c r="AB24" s="28"/>
      <c r="AC24" s="28"/>
      <c r="AD24" s="28"/>
      <c r="AE24" s="28"/>
      <c r="AF24" s="28"/>
      <c r="AG24" s="28"/>
      <c r="AH24" s="28"/>
      <c r="AI24" s="28"/>
      <c r="AJ24" s="28"/>
      <c r="AK24" s="28"/>
      <c r="AL24" s="28"/>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row>
    <row r="25" spans="1:114" s="30" customFormat="1" ht="15.75" customHeight="1">
      <c r="A25" s="282" t="s">
        <v>699</v>
      </c>
      <c r="B25" s="283"/>
      <c r="C25" s="283"/>
      <c r="D25" s="283"/>
      <c r="E25" s="22"/>
      <c r="F25" s="23">
        <f>SUM(F15:F24)</f>
        <v>207525678.3</v>
      </c>
      <c r="G25" s="23"/>
      <c r="H25" s="24">
        <f>SUM(H15:H24)</f>
        <v>706000000</v>
      </c>
      <c r="I25" s="25"/>
      <c r="J25" s="26"/>
      <c r="K25" s="27"/>
      <c r="L25" s="27"/>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row>
    <row r="26" spans="1:114" s="38" customFormat="1" ht="15.75" customHeight="1">
      <c r="A26" s="291">
        <v>1993</v>
      </c>
      <c r="B26" s="292"/>
      <c r="C26" s="292"/>
      <c r="D26" s="292"/>
      <c r="E26" s="292"/>
      <c r="F26" s="292"/>
      <c r="G26" s="292"/>
      <c r="H26" s="292"/>
      <c r="I26" s="293"/>
      <c r="J26" s="37"/>
      <c r="K26" s="27"/>
      <c r="L26" s="27"/>
      <c r="M26" s="27"/>
      <c r="N26" s="27"/>
      <c r="O26" s="27"/>
      <c r="P26" s="27"/>
      <c r="Q26" s="27"/>
      <c r="R26" s="27"/>
      <c r="S26" s="27"/>
      <c r="T26" s="27"/>
      <c r="U26" s="27"/>
      <c r="V26" s="28"/>
      <c r="W26" s="28"/>
      <c r="X26" s="28"/>
      <c r="Y26" s="28"/>
      <c r="Z26" s="28"/>
      <c r="AA26" s="28"/>
      <c r="AB26" s="28"/>
      <c r="AC26" s="28"/>
      <c r="AD26" s="28"/>
      <c r="AE26" s="28"/>
      <c r="AF26" s="28"/>
      <c r="AG26" s="28"/>
      <c r="AH26" s="28"/>
      <c r="AI26" s="28"/>
      <c r="AJ26" s="28"/>
      <c r="AK26" s="28"/>
      <c r="AL26" s="28"/>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row>
    <row r="27" spans="1:114" s="38" customFormat="1" ht="15.75" customHeight="1">
      <c r="A27" s="118">
        <f>A24+1</f>
        <v>11</v>
      </c>
      <c r="B27" s="119">
        <v>1</v>
      </c>
      <c r="C27" s="77" t="s">
        <v>700</v>
      </c>
      <c r="D27" s="78" t="s">
        <v>701</v>
      </c>
      <c r="E27" s="77" t="s">
        <v>688</v>
      </c>
      <c r="F27" s="98">
        <v>25414029</v>
      </c>
      <c r="G27" s="99"/>
      <c r="H27" s="79">
        <v>30000000</v>
      </c>
      <c r="I27" s="81"/>
      <c r="J27" s="26"/>
      <c r="K27" s="43"/>
      <c r="L27" s="27"/>
      <c r="M27" s="27"/>
      <c r="N27" s="27"/>
      <c r="O27" s="27"/>
      <c r="P27" s="27"/>
      <c r="Q27" s="27"/>
      <c r="R27" s="27"/>
      <c r="S27" s="27"/>
      <c r="T27" s="27"/>
      <c r="U27" s="27"/>
      <c r="V27" s="28"/>
      <c r="W27" s="28"/>
      <c r="X27" s="28"/>
      <c r="Y27" s="28"/>
      <c r="Z27" s="28"/>
      <c r="AA27" s="28"/>
      <c r="AB27" s="28"/>
      <c r="AC27" s="28"/>
      <c r="AD27" s="28"/>
      <c r="AE27" s="28"/>
      <c r="AF27" s="28"/>
      <c r="AG27" s="28"/>
      <c r="AH27" s="28"/>
      <c r="AI27" s="28"/>
      <c r="AJ27" s="28"/>
      <c r="AK27" s="28"/>
      <c r="AL27" s="28"/>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row>
    <row r="28" spans="1:114" s="38" customFormat="1" ht="15.75" customHeight="1">
      <c r="A28" s="100">
        <f aca="true" t="shared" si="2" ref="A28:A39">A27+1</f>
        <v>12</v>
      </c>
      <c r="B28" s="120">
        <f aca="true" t="shared" si="3" ref="B28:B39">B27+1</f>
        <v>2</v>
      </c>
      <c r="C28" s="102" t="s">
        <v>702</v>
      </c>
      <c r="D28" s="103" t="s">
        <v>703</v>
      </c>
      <c r="E28" s="102" t="s">
        <v>685</v>
      </c>
      <c r="F28" s="104">
        <v>2931313</v>
      </c>
      <c r="G28" s="105"/>
      <c r="H28" s="106"/>
      <c r="I28" s="107"/>
      <c r="J28" s="26"/>
      <c r="K28" s="43"/>
      <c r="L28" s="27"/>
      <c r="M28" s="27"/>
      <c r="N28" s="27"/>
      <c r="O28" s="27"/>
      <c r="P28" s="27"/>
      <c r="Q28" s="27"/>
      <c r="R28" s="27"/>
      <c r="S28" s="27"/>
      <c r="T28" s="27"/>
      <c r="U28" s="27"/>
      <c r="V28" s="28"/>
      <c r="W28" s="28"/>
      <c r="X28" s="28"/>
      <c r="Y28" s="28"/>
      <c r="Z28" s="28"/>
      <c r="AA28" s="28"/>
      <c r="AB28" s="28"/>
      <c r="AC28" s="28"/>
      <c r="AD28" s="28"/>
      <c r="AE28" s="28"/>
      <c r="AF28" s="28"/>
      <c r="AG28" s="28"/>
      <c r="AH28" s="28"/>
      <c r="AI28" s="28"/>
      <c r="AJ28" s="28"/>
      <c r="AK28" s="28"/>
      <c r="AL28" s="28"/>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row>
    <row r="29" spans="1:114" s="38" customFormat="1" ht="15.75" customHeight="1">
      <c r="A29" s="100">
        <f t="shared" si="2"/>
        <v>13</v>
      </c>
      <c r="B29" s="120">
        <f t="shared" si="3"/>
        <v>3</v>
      </c>
      <c r="C29" s="102" t="s">
        <v>704</v>
      </c>
      <c r="D29" s="103" t="s">
        <v>856</v>
      </c>
      <c r="E29" s="102" t="s">
        <v>594</v>
      </c>
      <c r="F29" s="104">
        <v>200000000</v>
      </c>
      <c r="G29" s="105"/>
      <c r="H29" s="106">
        <v>65000000</v>
      </c>
      <c r="I29" s="107"/>
      <c r="J29" s="26"/>
      <c r="K29" s="43"/>
      <c r="L29" s="27"/>
      <c r="M29" s="27"/>
      <c r="N29" s="27"/>
      <c r="O29" s="27"/>
      <c r="P29" s="27"/>
      <c r="Q29" s="27"/>
      <c r="R29" s="27"/>
      <c r="S29" s="27"/>
      <c r="T29" s="27"/>
      <c r="U29" s="27"/>
      <c r="V29" s="28"/>
      <c r="W29" s="28"/>
      <c r="X29" s="28"/>
      <c r="Y29" s="28"/>
      <c r="Z29" s="28"/>
      <c r="AA29" s="28"/>
      <c r="AB29" s="28"/>
      <c r="AC29" s="28"/>
      <c r="AD29" s="28"/>
      <c r="AE29" s="28"/>
      <c r="AF29" s="28"/>
      <c r="AG29" s="28"/>
      <c r="AH29" s="28"/>
      <c r="AI29" s="28"/>
      <c r="AJ29" s="28"/>
      <c r="AK29" s="28"/>
      <c r="AL29" s="28"/>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row>
    <row r="30" spans="1:114" s="38" customFormat="1" ht="15.75" customHeight="1">
      <c r="A30" s="100">
        <f t="shared" si="2"/>
        <v>14</v>
      </c>
      <c r="B30" s="120">
        <f t="shared" si="3"/>
        <v>4</v>
      </c>
      <c r="C30" s="102" t="s">
        <v>705</v>
      </c>
      <c r="D30" s="103" t="s">
        <v>706</v>
      </c>
      <c r="E30" s="102" t="s">
        <v>707</v>
      </c>
      <c r="F30" s="104">
        <v>1002000</v>
      </c>
      <c r="G30" s="105"/>
      <c r="H30" s="106"/>
      <c r="I30" s="107"/>
      <c r="J30" s="26"/>
      <c r="K30" s="43"/>
      <c r="L30" s="27"/>
      <c r="M30" s="27"/>
      <c r="N30" s="27"/>
      <c r="O30" s="27"/>
      <c r="P30" s="27"/>
      <c r="Q30" s="27"/>
      <c r="R30" s="27"/>
      <c r="S30" s="27"/>
      <c r="T30" s="27"/>
      <c r="U30" s="27"/>
      <c r="V30" s="28"/>
      <c r="W30" s="28"/>
      <c r="X30" s="28"/>
      <c r="Y30" s="28"/>
      <c r="Z30" s="28"/>
      <c r="AA30" s="28"/>
      <c r="AB30" s="28"/>
      <c r="AC30" s="28"/>
      <c r="AD30" s="28"/>
      <c r="AE30" s="28"/>
      <c r="AF30" s="28"/>
      <c r="AG30" s="28"/>
      <c r="AH30" s="28"/>
      <c r="AI30" s="28"/>
      <c r="AJ30" s="28"/>
      <c r="AK30" s="28"/>
      <c r="AL30" s="28"/>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row>
    <row r="31" spans="1:114" s="38" customFormat="1" ht="15.75" customHeight="1">
      <c r="A31" s="100">
        <f t="shared" si="2"/>
        <v>15</v>
      </c>
      <c r="B31" s="120">
        <f t="shared" si="3"/>
        <v>5</v>
      </c>
      <c r="C31" s="102" t="s">
        <v>708</v>
      </c>
      <c r="D31" s="103" t="s">
        <v>709</v>
      </c>
      <c r="E31" s="102" t="s">
        <v>710</v>
      </c>
      <c r="F31" s="104">
        <v>14663059</v>
      </c>
      <c r="G31" s="105"/>
      <c r="H31" s="106"/>
      <c r="I31" s="107"/>
      <c r="J31" s="26"/>
      <c r="K31" s="43"/>
      <c r="L31" s="27"/>
      <c r="M31" s="27"/>
      <c r="N31" s="27"/>
      <c r="O31" s="27"/>
      <c r="P31" s="27"/>
      <c r="Q31" s="27"/>
      <c r="R31" s="27"/>
      <c r="S31" s="27"/>
      <c r="T31" s="27"/>
      <c r="U31" s="27"/>
      <c r="V31" s="28"/>
      <c r="W31" s="28"/>
      <c r="X31" s="28"/>
      <c r="Y31" s="28"/>
      <c r="Z31" s="28"/>
      <c r="AA31" s="28"/>
      <c r="AB31" s="28"/>
      <c r="AC31" s="28"/>
      <c r="AD31" s="28"/>
      <c r="AE31" s="28"/>
      <c r="AF31" s="28"/>
      <c r="AG31" s="28"/>
      <c r="AH31" s="28"/>
      <c r="AI31" s="28"/>
      <c r="AJ31" s="28"/>
      <c r="AK31" s="28"/>
      <c r="AL31" s="28"/>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row>
    <row r="32" spans="1:114" s="38" customFormat="1" ht="15.75" customHeight="1">
      <c r="A32" s="100">
        <f t="shared" si="2"/>
        <v>16</v>
      </c>
      <c r="B32" s="120">
        <f t="shared" si="3"/>
        <v>6</v>
      </c>
      <c r="C32" s="102" t="s">
        <v>711</v>
      </c>
      <c r="D32" s="103" t="s">
        <v>712</v>
      </c>
      <c r="E32" s="102" t="s">
        <v>688</v>
      </c>
      <c r="F32" s="104">
        <v>248775</v>
      </c>
      <c r="G32" s="105"/>
      <c r="H32" s="106"/>
      <c r="I32" s="107"/>
      <c r="J32" s="26"/>
      <c r="K32" s="43"/>
      <c r="L32" s="27"/>
      <c r="M32" s="27"/>
      <c r="N32" s="27"/>
      <c r="O32" s="27"/>
      <c r="P32" s="27"/>
      <c r="Q32" s="27"/>
      <c r="R32" s="27"/>
      <c r="S32" s="27"/>
      <c r="T32" s="27"/>
      <c r="U32" s="27"/>
      <c r="V32" s="28"/>
      <c r="W32" s="28"/>
      <c r="X32" s="28"/>
      <c r="Y32" s="28"/>
      <c r="Z32" s="28"/>
      <c r="AA32" s="28"/>
      <c r="AB32" s="28"/>
      <c r="AC32" s="28"/>
      <c r="AD32" s="28"/>
      <c r="AE32" s="28"/>
      <c r="AF32" s="28"/>
      <c r="AG32" s="28"/>
      <c r="AH32" s="28"/>
      <c r="AI32" s="28"/>
      <c r="AJ32" s="28"/>
      <c r="AK32" s="28"/>
      <c r="AL32" s="28"/>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row>
    <row r="33" spans="1:114" s="38" customFormat="1" ht="15.75" customHeight="1">
      <c r="A33" s="100">
        <f t="shared" si="2"/>
        <v>17</v>
      </c>
      <c r="B33" s="120">
        <f t="shared" si="3"/>
        <v>7</v>
      </c>
      <c r="C33" s="102" t="s">
        <v>713</v>
      </c>
      <c r="D33" s="103" t="s">
        <v>714</v>
      </c>
      <c r="E33" s="102" t="s">
        <v>688</v>
      </c>
      <c r="F33" s="104">
        <v>225498</v>
      </c>
      <c r="G33" s="105"/>
      <c r="H33" s="106"/>
      <c r="I33" s="107"/>
      <c r="J33" s="26"/>
      <c r="K33" s="43"/>
      <c r="L33" s="27"/>
      <c r="M33" s="27"/>
      <c r="N33" s="27"/>
      <c r="O33" s="27"/>
      <c r="P33" s="27"/>
      <c r="Q33" s="27"/>
      <c r="R33" s="27"/>
      <c r="S33" s="27"/>
      <c r="T33" s="27"/>
      <c r="U33" s="27"/>
      <c r="V33" s="28"/>
      <c r="W33" s="28"/>
      <c r="X33" s="28"/>
      <c r="Y33" s="28"/>
      <c r="Z33" s="28"/>
      <c r="AA33" s="28"/>
      <c r="AB33" s="28"/>
      <c r="AC33" s="28"/>
      <c r="AD33" s="28"/>
      <c r="AE33" s="28"/>
      <c r="AF33" s="28"/>
      <c r="AG33" s="28"/>
      <c r="AH33" s="28"/>
      <c r="AI33" s="28"/>
      <c r="AJ33" s="28"/>
      <c r="AK33" s="28"/>
      <c r="AL33" s="28"/>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row>
    <row r="34" spans="1:114" s="38" customFormat="1" ht="15.75" customHeight="1">
      <c r="A34" s="100">
        <f t="shared" si="2"/>
        <v>18</v>
      </c>
      <c r="B34" s="120">
        <f t="shared" si="3"/>
        <v>8</v>
      </c>
      <c r="C34" s="102" t="s">
        <v>715</v>
      </c>
      <c r="D34" s="103" t="s">
        <v>716</v>
      </c>
      <c r="E34" s="102" t="s">
        <v>670</v>
      </c>
      <c r="F34" s="104">
        <v>6150000</v>
      </c>
      <c r="G34" s="105"/>
      <c r="H34" s="106"/>
      <c r="I34" s="107"/>
      <c r="J34" s="26"/>
      <c r="K34" s="43"/>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row>
    <row r="35" spans="1:114" s="38" customFormat="1" ht="15.75" customHeight="1">
      <c r="A35" s="100">
        <f t="shared" si="2"/>
        <v>19</v>
      </c>
      <c r="B35" s="120">
        <f t="shared" si="3"/>
        <v>9</v>
      </c>
      <c r="C35" s="102" t="s">
        <v>717</v>
      </c>
      <c r="D35" s="103" t="s">
        <v>718</v>
      </c>
      <c r="E35" s="102" t="s">
        <v>688</v>
      </c>
      <c r="F35" s="104">
        <v>25246250</v>
      </c>
      <c r="G35" s="105"/>
      <c r="H35" s="106"/>
      <c r="I35" s="107"/>
      <c r="J35" s="26"/>
      <c r="K35" s="43"/>
      <c r="L35" s="27"/>
      <c r="M35" s="27"/>
      <c r="N35" s="27"/>
      <c r="O35" s="27"/>
      <c r="P35" s="27"/>
      <c r="Q35" s="27"/>
      <c r="R35" s="27"/>
      <c r="S35" s="27"/>
      <c r="T35" s="27"/>
      <c r="U35" s="27"/>
      <c r="V35" s="28"/>
      <c r="W35" s="28"/>
      <c r="X35" s="28"/>
      <c r="Y35" s="28"/>
      <c r="Z35" s="28"/>
      <c r="AA35" s="28"/>
      <c r="AB35" s="28"/>
      <c r="AC35" s="28"/>
      <c r="AD35" s="28"/>
      <c r="AE35" s="28"/>
      <c r="AF35" s="28"/>
      <c r="AG35" s="28"/>
      <c r="AH35" s="28"/>
      <c r="AI35" s="28"/>
      <c r="AJ35" s="28"/>
      <c r="AK35" s="28"/>
      <c r="AL35" s="28"/>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row>
    <row r="36" spans="1:114" s="38" customFormat="1" ht="15.75" customHeight="1">
      <c r="A36" s="100">
        <f t="shared" si="2"/>
        <v>20</v>
      </c>
      <c r="B36" s="120">
        <f t="shared" si="3"/>
        <v>10</v>
      </c>
      <c r="C36" s="102" t="s">
        <v>719</v>
      </c>
      <c r="D36" s="103" t="s">
        <v>857</v>
      </c>
      <c r="E36" s="102" t="s">
        <v>597</v>
      </c>
      <c r="F36" s="104">
        <v>35446690</v>
      </c>
      <c r="G36" s="105"/>
      <c r="H36" s="106">
        <v>485300000</v>
      </c>
      <c r="I36" s="115" t="s">
        <v>696</v>
      </c>
      <c r="J36" s="26"/>
      <c r="K36" s="43"/>
      <c r="L36" s="27"/>
      <c r="M36" s="27"/>
      <c r="N36" s="27"/>
      <c r="O36" s="27"/>
      <c r="P36" s="27"/>
      <c r="Q36" s="27"/>
      <c r="R36" s="27"/>
      <c r="S36" s="27"/>
      <c r="T36" s="27"/>
      <c r="U36" s="27"/>
      <c r="V36" s="28"/>
      <c r="W36" s="28"/>
      <c r="X36" s="28"/>
      <c r="Y36" s="28"/>
      <c r="Z36" s="28"/>
      <c r="AA36" s="28"/>
      <c r="AB36" s="28"/>
      <c r="AC36" s="28"/>
      <c r="AD36" s="28"/>
      <c r="AE36" s="28"/>
      <c r="AF36" s="28"/>
      <c r="AG36" s="28"/>
      <c r="AH36" s="28"/>
      <c r="AI36" s="28"/>
      <c r="AJ36" s="28"/>
      <c r="AK36" s="28"/>
      <c r="AL36" s="28"/>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row>
    <row r="37" spans="1:114" s="38" customFormat="1" ht="15.75" customHeight="1">
      <c r="A37" s="100">
        <f t="shared" si="2"/>
        <v>21</v>
      </c>
      <c r="B37" s="120">
        <f t="shared" si="3"/>
        <v>11</v>
      </c>
      <c r="C37" s="102" t="s">
        <v>720</v>
      </c>
      <c r="D37" s="103" t="s">
        <v>721</v>
      </c>
      <c r="E37" s="102" t="s">
        <v>596</v>
      </c>
      <c r="F37" s="104">
        <v>1900000</v>
      </c>
      <c r="G37" s="105"/>
      <c r="H37" s="106"/>
      <c r="I37" s="107"/>
      <c r="J37" s="26"/>
      <c r="K37" s="43"/>
      <c r="L37" s="27"/>
      <c r="M37" s="27"/>
      <c r="N37" s="27"/>
      <c r="O37" s="27"/>
      <c r="P37" s="27"/>
      <c r="Q37" s="27"/>
      <c r="R37" s="27"/>
      <c r="S37" s="27"/>
      <c r="T37" s="27"/>
      <c r="U37" s="27"/>
      <c r="V37" s="28"/>
      <c r="W37" s="28"/>
      <c r="X37" s="28"/>
      <c r="Y37" s="28"/>
      <c r="Z37" s="28"/>
      <c r="AA37" s="28"/>
      <c r="AB37" s="28"/>
      <c r="AC37" s="28"/>
      <c r="AD37" s="28"/>
      <c r="AE37" s="28"/>
      <c r="AF37" s="28"/>
      <c r="AG37" s="28"/>
      <c r="AH37" s="28"/>
      <c r="AI37" s="28"/>
      <c r="AJ37" s="28"/>
      <c r="AK37" s="28"/>
      <c r="AL37" s="28"/>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row>
    <row r="38" spans="1:114" s="38" customFormat="1" ht="15.75" customHeight="1">
      <c r="A38" s="100">
        <f t="shared" si="2"/>
        <v>22</v>
      </c>
      <c r="B38" s="120">
        <f t="shared" si="3"/>
        <v>12</v>
      </c>
      <c r="C38" s="102" t="s">
        <v>722</v>
      </c>
      <c r="D38" s="103" t="s">
        <v>723</v>
      </c>
      <c r="E38" s="102" t="s">
        <v>596</v>
      </c>
      <c r="F38" s="104">
        <v>2700000</v>
      </c>
      <c r="G38" s="105"/>
      <c r="H38" s="106">
        <v>3500000</v>
      </c>
      <c r="I38" s="107"/>
      <c r="J38" s="26"/>
      <c r="K38" s="43"/>
      <c r="L38" s="27"/>
      <c r="M38" s="27"/>
      <c r="N38" s="27"/>
      <c r="O38" s="27"/>
      <c r="P38" s="27"/>
      <c r="Q38" s="27"/>
      <c r="R38" s="27"/>
      <c r="S38" s="27"/>
      <c r="T38" s="27"/>
      <c r="U38" s="27"/>
      <c r="V38" s="28"/>
      <c r="W38" s="28"/>
      <c r="X38" s="28"/>
      <c r="Y38" s="28"/>
      <c r="Z38" s="28"/>
      <c r="AA38" s="28"/>
      <c r="AB38" s="28"/>
      <c r="AC38" s="28"/>
      <c r="AD38" s="28"/>
      <c r="AE38" s="28"/>
      <c r="AF38" s="28"/>
      <c r="AG38" s="28"/>
      <c r="AH38" s="28"/>
      <c r="AI38" s="28"/>
      <c r="AJ38" s="28"/>
      <c r="AK38" s="28"/>
      <c r="AL38" s="28"/>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row>
    <row r="39" spans="1:114" s="38" customFormat="1" ht="15.75" customHeight="1">
      <c r="A39" s="121">
        <f t="shared" si="2"/>
        <v>23</v>
      </c>
      <c r="B39" s="122">
        <f t="shared" si="3"/>
        <v>13</v>
      </c>
      <c r="C39" s="84" t="s">
        <v>724</v>
      </c>
      <c r="D39" s="85" t="s">
        <v>725</v>
      </c>
      <c r="E39" s="84" t="s">
        <v>726</v>
      </c>
      <c r="F39" s="86">
        <v>777000</v>
      </c>
      <c r="G39" s="87"/>
      <c r="H39" s="88"/>
      <c r="I39" s="89"/>
      <c r="J39" s="26"/>
      <c r="K39" s="43"/>
      <c r="L39" s="27"/>
      <c r="M39" s="27"/>
      <c r="N39" s="27"/>
      <c r="O39" s="27"/>
      <c r="P39" s="27"/>
      <c r="Q39" s="27"/>
      <c r="R39" s="27"/>
      <c r="S39" s="27"/>
      <c r="T39" s="27"/>
      <c r="U39" s="27"/>
      <c r="V39" s="28"/>
      <c r="W39" s="28"/>
      <c r="X39" s="28"/>
      <c r="Y39" s="28"/>
      <c r="Z39" s="28"/>
      <c r="AA39" s="28"/>
      <c r="AB39" s="28"/>
      <c r="AC39" s="28"/>
      <c r="AD39" s="28"/>
      <c r="AE39" s="28"/>
      <c r="AF39" s="28"/>
      <c r="AG39" s="28"/>
      <c r="AH39" s="28"/>
      <c r="AI39" s="28"/>
      <c r="AJ39" s="28"/>
      <c r="AK39" s="28"/>
      <c r="AL39" s="28"/>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row>
    <row r="40" spans="1:114" s="30" customFormat="1" ht="15.75" customHeight="1">
      <c r="A40" s="282" t="s">
        <v>727</v>
      </c>
      <c r="B40" s="283"/>
      <c r="C40" s="283"/>
      <c r="D40" s="283"/>
      <c r="E40" s="22"/>
      <c r="F40" s="23">
        <f>SUM(F27:F39)</f>
        <v>316704614</v>
      </c>
      <c r="G40" s="23"/>
      <c r="H40" s="24">
        <f>SUM(H27:H39)</f>
        <v>583800000</v>
      </c>
      <c r="I40" s="25"/>
      <c r="J40" s="26"/>
      <c r="K40" s="27"/>
      <c r="L40" s="27"/>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row>
    <row r="41" spans="1:114" s="38" customFormat="1" ht="15.75" customHeight="1">
      <c r="A41" s="291">
        <v>1994</v>
      </c>
      <c r="B41" s="292"/>
      <c r="C41" s="292"/>
      <c r="D41" s="292"/>
      <c r="E41" s="292"/>
      <c r="F41" s="292"/>
      <c r="G41" s="292"/>
      <c r="H41" s="292"/>
      <c r="I41" s="293"/>
      <c r="J41" s="26"/>
      <c r="K41" s="43"/>
      <c r="L41" s="27"/>
      <c r="M41" s="27"/>
      <c r="N41" s="27"/>
      <c r="O41" s="27"/>
      <c r="P41" s="27"/>
      <c r="Q41" s="27"/>
      <c r="R41" s="27"/>
      <c r="S41" s="27"/>
      <c r="T41" s="27"/>
      <c r="U41" s="27"/>
      <c r="V41" s="28"/>
      <c r="W41" s="28"/>
      <c r="X41" s="28"/>
      <c r="Y41" s="28"/>
      <c r="Z41" s="28"/>
      <c r="AA41" s="28"/>
      <c r="AB41" s="28"/>
      <c r="AC41" s="28"/>
      <c r="AD41" s="28"/>
      <c r="AE41" s="28"/>
      <c r="AF41" s="28"/>
      <c r="AG41" s="28"/>
      <c r="AH41" s="28"/>
      <c r="AI41" s="28"/>
      <c r="AJ41" s="28"/>
      <c r="AK41" s="28"/>
      <c r="AL41" s="28"/>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row>
    <row r="42" spans="1:114" s="38" customFormat="1" ht="15.75" customHeight="1">
      <c r="A42" s="75">
        <f>A39+1</f>
        <v>24</v>
      </c>
      <c r="B42" s="76">
        <v>1</v>
      </c>
      <c r="C42" s="77" t="s">
        <v>728</v>
      </c>
      <c r="D42" s="78" t="s">
        <v>729</v>
      </c>
      <c r="E42" s="77" t="s">
        <v>596</v>
      </c>
      <c r="F42" s="98">
        <v>6500000</v>
      </c>
      <c r="G42" s="99"/>
      <c r="H42" s="79">
        <v>2000000</v>
      </c>
      <c r="I42" s="81"/>
      <c r="J42" s="26"/>
      <c r="K42" s="43"/>
      <c r="L42" s="27"/>
      <c r="M42" s="27"/>
      <c r="N42" s="27"/>
      <c r="O42" s="27"/>
      <c r="P42" s="27"/>
      <c r="Q42" s="27"/>
      <c r="R42" s="27"/>
      <c r="S42" s="27"/>
      <c r="T42" s="27"/>
      <c r="U42" s="27"/>
      <c r="V42" s="28"/>
      <c r="W42" s="28"/>
      <c r="X42" s="28"/>
      <c r="Y42" s="28"/>
      <c r="Z42" s="28"/>
      <c r="AA42" s="28"/>
      <c r="AB42" s="28"/>
      <c r="AC42" s="28"/>
      <c r="AD42" s="28"/>
      <c r="AE42" s="28"/>
      <c r="AF42" s="28"/>
      <c r="AG42" s="28"/>
      <c r="AH42" s="28"/>
      <c r="AI42" s="28"/>
      <c r="AJ42" s="28"/>
      <c r="AK42" s="28"/>
      <c r="AL42" s="28"/>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row>
    <row r="43" spans="1:114" s="38" customFormat="1" ht="15.75" customHeight="1">
      <c r="A43" s="123">
        <f aca="true" t="shared" si="4" ref="A43:A64">A42+1</f>
        <v>25</v>
      </c>
      <c r="B43" s="101">
        <f aca="true" t="shared" si="5" ref="B43:B64">B42+1</f>
        <v>2</v>
      </c>
      <c r="C43" s="102" t="s">
        <v>730</v>
      </c>
      <c r="D43" s="103" t="s">
        <v>731</v>
      </c>
      <c r="E43" s="102" t="s">
        <v>596</v>
      </c>
      <c r="F43" s="104">
        <v>67100121</v>
      </c>
      <c r="G43" s="105"/>
      <c r="H43" s="106">
        <v>5000000</v>
      </c>
      <c r="I43" s="107"/>
      <c r="J43" s="26"/>
      <c r="K43" s="43"/>
      <c r="L43" s="27"/>
      <c r="M43" s="27"/>
      <c r="N43" s="27"/>
      <c r="O43" s="27"/>
      <c r="P43" s="27"/>
      <c r="Q43" s="27"/>
      <c r="R43" s="27"/>
      <c r="S43" s="27"/>
      <c r="T43" s="27"/>
      <c r="U43" s="27"/>
      <c r="V43" s="28"/>
      <c r="W43" s="28"/>
      <c r="X43" s="28"/>
      <c r="Y43" s="28"/>
      <c r="Z43" s="28"/>
      <c r="AA43" s="28"/>
      <c r="AB43" s="28"/>
      <c r="AC43" s="28"/>
      <c r="AD43" s="28"/>
      <c r="AE43" s="28"/>
      <c r="AF43" s="28"/>
      <c r="AG43" s="28"/>
      <c r="AH43" s="28"/>
      <c r="AI43" s="28"/>
      <c r="AJ43" s="28"/>
      <c r="AK43" s="28"/>
      <c r="AL43" s="28"/>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row>
    <row r="44" spans="1:114" s="38" customFormat="1" ht="15.75" customHeight="1">
      <c r="A44" s="123">
        <f t="shared" si="4"/>
        <v>26</v>
      </c>
      <c r="B44" s="101">
        <f t="shared" si="5"/>
        <v>3</v>
      </c>
      <c r="C44" s="102" t="s">
        <v>732</v>
      </c>
      <c r="D44" s="103" t="s">
        <v>733</v>
      </c>
      <c r="E44" s="102" t="s">
        <v>595</v>
      </c>
      <c r="F44" s="104">
        <v>1601016</v>
      </c>
      <c r="G44" s="105"/>
      <c r="H44" s="106"/>
      <c r="I44" s="107"/>
      <c r="J44" s="26"/>
      <c r="K44" s="43"/>
      <c r="L44" s="27"/>
      <c r="M44" s="27"/>
      <c r="N44" s="27"/>
      <c r="O44" s="27"/>
      <c r="P44" s="27"/>
      <c r="Q44" s="27"/>
      <c r="R44" s="27"/>
      <c r="S44" s="27"/>
      <c r="T44" s="27"/>
      <c r="U44" s="27"/>
      <c r="V44" s="28"/>
      <c r="W44" s="28"/>
      <c r="X44" s="28"/>
      <c r="Y44" s="28"/>
      <c r="Z44" s="28"/>
      <c r="AA44" s="28"/>
      <c r="AB44" s="28"/>
      <c r="AC44" s="28"/>
      <c r="AD44" s="28"/>
      <c r="AE44" s="28"/>
      <c r="AF44" s="28"/>
      <c r="AG44" s="28"/>
      <c r="AH44" s="28"/>
      <c r="AI44" s="28"/>
      <c r="AJ44" s="28"/>
      <c r="AK44" s="28"/>
      <c r="AL44" s="28"/>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row>
    <row r="45" spans="1:114" s="38" customFormat="1" ht="15.75" customHeight="1">
      <c r="A45" s="123">
        <f t="shared" si="4"/>
        <v>27</v>
      </c>
      <c r="B45" s="101">
        <f t="shared" si="5"/>
        <v>4</v>
      </c>
      <c r="C45" s="102" t="s">
        <v>734</v>
      </c>
      <c r="D45" s="103" t="s">
        <v>735</v>
      </c>
      <c r="E45" s="102" t="s">
        <v>736</v>
      </c>
      <c r="F45" s="104">
        <v>1391426909</v>
      </c>
      <c r="G45" s="105"/>
      <c r="H45" s="106">
        <f>2176000000-610752289</f>
        <v>1565247711</v>
      </c>
      <c r="I45" s="115" t="s">
        <v>737</v>
      </c>
      <c r="J45" s="26"/>
      <c r="K45" s="43"/>
      <c r="L45" s="27"/>
      <c r="M45" s="27"/>
      <c r="N45" s="27"/>
      <c r="O45" s="27"/>
      <c r="P45" s="27"/>
      <c r="Q45" s="27"/>
      <c r="R45" s="27"/>
      <c r="S45" s="27"/>
      <c r="T45" s="27"/>
      <c r="U45" s="27"/>
      <c r="V45" s="28"/>
      <c r="W45" s="28"/>
      <c r="X45" s="28"/>
      <c r="Y45" s="28"/>
      <c r="Z45" s="28"/>
      <c r="AA45" s="28"/>
      <c r="AB45" s="28"/>
      <c r="AC45" s="28"/>
      <c r="AD45" s="28"/>
      <c r="AE45" s="28"/>
      <c r="AF45" s="28"/>
      <c r="AG45" s="28"/>
      <c r="AH45" s="28"/>
      <c r="AI45" s="28"/>
      <c r="AJ45" s="28"/>
      <c r="AK45" s="28"/>
      <c r="AL45" s="28"/>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row>
    <row r="46" spans="1:114" s="38" customFormat="1" ht="15.75" customHeight="1">
      <c r="A46" s="123">
        <f t="shared" si="4"/>
        <v>28</v>
      </c>
      <c r="B46" s="101">
        <f t="shared" si="5"/>
        <v>5</v>
      </c>
      <c r="C46" s="102" t="s">
        <v>738</v>
      </c>
      <c r="D46" s="103" t="s">
        <v>0</v>
      </c>
      <c r="E46" s="102" t="s">
        <v>596</v>
      </c>
      <c r="F46" s="104">
        <v>1254764</v>
      </c>
      <c r="G46" s="105"/>
      <c r="H46" s="106"/>
      <c r="I46" s="107"/>
      <c r="J46" s="26"/>
      <c r="K46" s="43"/>
      <c r="L46" s="27"/>
      <c r="M46" s="27"/>
      <c r="N46" s="27"/>
      <c r="O46" s="27"/>
      <c r="P46" s="27"/>
      <c r="Q46" s="27"/>
      <c r="R46" s="27"/>
      <c r="S46" s="27"/>
      <c r="T46" s="27"/>
      <c r="U46" s="27"/>
      <c r="V46" s="28"/>
      <c r="W46" s="28"/>
      <c r="X46" s="28"/>
      <c r="Y46" s="28"/>
      <c r="Z46" s="28"/>
      <c r="AA46" s="28"/>
      <c r="AB46" s="28"/>
      <c r="AC46" s="28"/>
      <c r="AD46" s="28"/>
      <c r="AE46" s="28"/>
      <c r="AF46" s="28"/>
      <c r="AG46" s="28"/>
      <c r="AH46" s="28"/>
      <c r="AI46" s="28"/>
      <c r="AJ46" s="28"/>
      <c r="AK46" s="28"/>
      <c r="AL46" s="28"/>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row>
    <row r="47" spans="1:114" s="38" customFormat="1" ht="15.75" customHeight="1">
      <c r="A47" s="123">
        <f t="shared" si="4"/>
        <v>29</v>
      </c>
      <c r="B47" s="101">
        <f t="shared" si="5"/>
        <v>6</v>
      </c>
      <c r="C47" s="124" t="s">
        <v>1</v>
      </c>
      <c r="D47" s="103" t="s">
        <v>2</v>
      </c>
      <c r="E47" s="102" t="s">
        <v>3</v>
      </c>
      <c r="F47" s="104">
        <v>2498373</v>
      </c>
      <c r="G47" s="105"/>
      <c r="H47" s="106"/>
      <c r="I47" s="107"/>
      <c r="J47" s="26"/>
      <c r="K47" s="43"/>
      <c r="L47" s="27"/>
      <c r="M47" s="27"/>
      <c r="N47" s="27"/>
      <c r="O47" s="27"/>
      <c r="P47" s="27"/>
      <c r="Q47" s="27"/>
      <c r="R47" s="27"/>
      <c r="S47" s="27"/>
      <c r="T47" s="27"/>
      <c r="U47" s="27"/>
      <c r="V47" s="28"/>
      <c r="W47" s="28"/>
      <c r="X47" s="28"/>
      <c r="Y47" s="28"/>
      <c r="Z47" s="28"/>
      <c r="AA47" s="28"/>
      <c r="AB47" s="28"/>
      <c r="AC47" s="28"/>
      <c r="AD47" s="28"/>
      <c r="AE47" s="28"/>
      <c r="AF47" s="28"/>
      <c r="AG47" s="28"/>
      <c r="AH47" s="28"/>
      <c r="AI47" s="28"/>
      <c r="AJ47" s="28"/>
      <c r="AK47" s="28"/>
      <c r="AL47" s="28"/>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row>
    <row r="48" spans="1:114" s="38" customFormat="1" ht="15.75" customHeight="1">
      <c r="A48" s="123">
        <f t="shared" si="4"/>
        <v>30</v>
      </c>
      <c r="B48" s="101">
        <f t="shared" si="5"/>
        <v>7</v>
      </c>
      <c r="C48" s="102" t="s">
        <v>4</v>
      </c>
      <c r="D48" s="103" t="s">
        <v>5</v>
      </c>
      <c r="E48" s="102" t="s">
        <v>597</v>
      </c>
      <c r="F48" s="104">
        <v>66626249</v>
      </c>
      <c r="G48" s="105"/>
      <c r="H48" s="106">
        <v>20200000</v>
      </c>
      <c r="I48" s="115" t="s">
        <v>696</v>
      </c>
      <c r="J48" s="26"/>
      <c r="K48" s="43"/>
      <c r="L48" s="27"/>
      <c r="M48" s="27"/>
      <c r="N48" s="27"/>
      <c r="O48" s="27"/>
      <c r="P48" s="27"/>
      <c r="Q48" s="27"/>
      <c r="R48" s="27"/>
      <c r="S48" s="27"/>
      <c r="T48" s="27"/>
      <c r="U48" s="27"/>
      <c r="V48" s="28"/>
      <c r="W48" s="28"/>
      <c r="X48" s="28"/>
      <c r="Y48" s="28"/>
      <c r="Z48" s="28"/>
      <c r="AA48" s="28"/>
      <c r="AB48" s="28"/>
      <c r="AC48" s="28"/>
      <c r="AD48" s="28"/>
      <c r="AE48" s="28"/>
      <c r="AF48" s="28"/>
      <c r="AG48" s="28"/>
      <c r="AH48" s="28"/>
      <c r="AI48" s="28"/>
      <c r="AJ48" s="28"/>
      <c r="AK48" s="28"/>
      <c r="AL48" s="28"/>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row>
    <row r="49" spans="1:114" s="38" customFormat="1" ht="15.75" customHeight="1">
      <c r="A49" s="123">
        <f t="shared" si="4"/>
        <v>31</v>
      </c>
      <c r="B49" s="101">
        <f t="shared" si="5"/>
        <v>8</v>
      </c>
      <c r="C49" s="102" t="s">
        <v>6</v>
      </c>
      <c r="D49" s="103" t="s">
        <v>7</v>
      </c>
      <c r="E49" s="102" t="s">
        <v>596</v>
      </c>
      <c r="F49" s="104">
        <v>4400000</v>
      </c>
      <c r="G49" s="105"/>
      <c r="H49" s="106">
        <v>1000000</v>
      </c>
      <c r="I49" s="107"/>
      <c r="J49" s="26"/>
      <c r="K49" s="43"/>
      <c r="L49" s="27"/>
      <c r="M49" s="27"/>
      <c r="N49" s="27"/>
      <c r="O49" s="27"/>
      <c r="P49" s="27"/>
      <c r="Q49" s="27"/>
      <c r="R49" s="27"/>
      <c r="S49" s="27"/>
      <c r="T49" s="27"/>
      <c r="U49" s="27"/>
      <c r="V49" s="28"/>
      <c r="W49" s="28"/>
      <c r="X49" s="28"/>
      <c r="Y49" s="28"/>
      <c r="Z49" s="28"/>
      <c r="AA49" s="28"/>
      <c r="AB49" s="28"/>
      <c r="AC49" s="28"/>
      <c r="AD49" s="28"/>
      <c r="AE49" s="28"/>
      <c r="AF49" s="28"/>
      <c r="AG49" s="28"/>
      <c r="AH49" s="28"/>
      <c r="AI49" s="28"/>
      <c r="AJ49" s="28"/>
      <c r="AK49" s="28"/>
      <c r="AL49" s="28"/>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row>
    <row r="50" spans="1:114" s="38" customFormat="1" ht="15.75" customHeight="1">
      <c r="A50" s="123">
        <f t="shared" si="4"/>
        <v>32</v>
      </c>
      <c r="B50" s="101">
        <f t="shared" si="5"/>
        <v>9</v>
      </c>
      <c r="C50" s="102" t="s">
        <v>8</v>
      </c>
      <c r="D50" s="103" t="s">
        <v>9</v>
      </c>
      <c r="E50" s="102" t="s">
        <v>10</v>
      </c>
      <c r="F50" s="104">
        <v>577508</v>
      </c>
      <c r="G50" s="105"/>
      <c r="H50" s="106"/>
      <c r="I50" s="107"/>
      <c r="J50" s="26"/>
      <c r="K50" s="43"/>
      <c r="L50" s="27"/>
      <c r="M50" s="27"/>
      <c r="N50" s="27"/>
      <c r="O50" s="27"/>
      <c r="P50" s="27"/>
      <c r="Q50" s="27"/>
      <c r="R50" s="27"/>
      <c r="S50" s="27"/>
      <c r="T50" s="27"/>
      <c r="U50" s="27"/>
      <c r="V50" s="28"/>
      <c r="W50" s="28"/>
      <c r="X50" s="28"/>
      <c r="Y50" s="28"/>
      <c r="Z50" s="28"/>
      <c r="AA50" s="28"/>
      <c r="AB50" s="28"/>
      <c r="AC50" s="28"/>
      <c r="AD50" s="28"/>
      <c r="AE50" s="28"/>
      <c r="AF50" s="28"/>
      <c r="AG50" s="28"/>
      <c r="AH50" s="28"/>
      <c r="AI50" s="28"/>
      <c r="AJ50" s="28"/>
      <c r="AK50" s="28"/>
      <c r="AL50" s="28"/>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row>
    <row r="51" spans="1:114" s="38" customFormat="1" ht="15.75" customHeight="1">
      <c r="A51" s="123">
        <f t="shared" si="4"/>
        <v>33</v>
      </c>
      <c r="B51" s="101">
        <f t="shared" si="5"/>
        <v>10</v>
      </c>
      <c r="C51" s="102" t="s">
        <v>11</v>
      </c>
      <c r="D51" s="103" t="s">
        <v>12</v>
      </c>
      <c r="E51" s="102" t="s">
        <v>596</v>
      </c>
      <c r="F51" s="104">
        <v>103289130</v>
      </c>
      <c r="G51" s="105"/>
      <c r="H51" s="106"/>
      <c r="I51" s="107"/>
      <c r="J51" s="26"/>
      <c r="K51" s="43"/>
      <c r="L51" s="27"/>
      <c r="M51" s="27"/>
      <c r="N51" s="27"/>
      <c r="O51" s="27"/>
      <c r="P51" s="27"/>
      <c r="Q51" s="27"/>
      <c r="R51" s="27"/>
      <c r="S51" s="27"/>
      <c r="T51" s="27"/>
      <c r="U51" s="27"/>
      <c r="V51" s="28"/>
      <c r="W51" s="28"/>
      <c r="X51" s="28"/>
      <c r="Y51" s="28"/>
      <c r="Z51" s="28"/>
      <c r="AA51" s="28"/>
      <c r="AB51" s="28"/>
      <c r="AC51" s="28"/>
      <c r="AD51" s="28"/>
      <c r="AE51" s="28"/>
      <c r="AF51" s="28"/>
      <c r="AG51" s="28"/>
      <c r="AH51" s="28"/>
      <c r="AI51" s="28"/>
      <c r="AJ51" s="28"/>
      <c r="AK51" s="28"/>
      <c r="AL51" s="28"/>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row>
    <row r="52" spans="1:114" s="38" customFormat="1" ht="15.75" customHeight="1">
      <c r="A52" s="123">
        <f t="shared" si="4"/>
        <v>34</v>
      </c>
      <c r="B52" s="101">
        <f t="shared" si="5"/>
        <v>11</v>
      </c>
      <c r="C52" s="102" t="s">
        <v>13</v>
      </c>
      <c r="D52" s="103" t="s">
        <v>14</v>
      </c>
      <c r="E52" s="102" t="s">
        <v>595</v>
      </c>
      <c r="F52" s="104">
        <v>1001510</v>
      </c>
      <c r="G52" s="105"/>
      <c r="H52" s="106"/>
      <c r="I52" s="107"/>
      <c r="J52" s="26"/>
      <c r="K52" s="43"/>
      <c r="L52" s="27"/>
      <c r="M52" s="27"/>
      <c r="N52" s="27"/>
      <c r="O52" s="27"/>
      <c r="P52" s="27"/>
      <c r="Q52" s="27"/>
      <c r="R52" s="27"/>
      <c r="S52" s="27"/>
      <c r="T52" s="27"/>
      <c r="U52" s="27"/>
      <c r="V52" s="28"/>
      <c r="W52" s="28"/>
      <c r="X52" s="28"/>
      <c r="Y52" s="28"/>
      <c r="Z52" s="28"/>
      <c r="AA52" s="28"/>
      <c r="AB52" s="28"/>
      <c r="AC52" s="28"/>
      <c r="AD52" s="28"/>
      <c r="AE52" s="28"/>
      <c r="AF52" s="28"/>
      <c r="AG52" s="28"/>
      <c r="AH52" s="28"/>
      <c r="AI52" s="28"/>
      <c r="AJ52" s="28"/>
      <c r="AK52" s="28"/>
      <c r="AL52" s="28"/>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row>
    <row r="53" spans="1:114" s="38" customFormat="1" ht="15.75" customHeight="1">
      <c r="A53" s="123">
        <f t="shared" si="4"/>
        <v>35</v>
      </c>
      <c r="B53" s="101">
        <f t="shared" si="5"/>
        <v>12</v>
      </c>
      <c r="C53" s="102" t="s">
        <v>15</v>
      </c>
      <c r="D53" s="103" t="s">
        <v>16</v>
      </c>
      <c r="E53" s="102" t="s">
        <v>598</v>
      </c>
      <c r="F53" s="104">
        <v>176490000</v>
      </c>
      <c r="G53" s="105"/>
      <c r="H53" s="106">
        <v>150000000</v>
      </c>
      <c r="I53" s="107"/>
      <c r="J53" s="26"/>
      <c r="K53" s="43"/>
      <c r="L53" s="27"/>
      <c r="M53" s="27"/>
      <c r="N53" s="27"/>
      <c r="O53" s="27"/>
      <c r="P53" s="27"/>
      <c r="Q53" s="27"/>
      <c r="R53" s="27"/>
      <c r="S53" s="27"/>
      <c r="T53" s="27"/>
      <c r="U53" s="27"/>
      <c r="V53" s="28"/>
      <c r="W53" s="28"/>
      <c r="X53" s="28"/>
      <c r="Y53" s="28"/>
      <c r="Z53" s="28"/>
      <c r="AA53" s="28"/>
      <c r="AB53" s="28"/>
      <c r="AC53" s="28"/>
      <c r="AD53" s="28"/>
      <c r="AE53" s="28"/>
      <c r="AF53" s="28"/>
      <c r="AG53" s="28"/>
      <c r="AH53" s="28"/>
      <c r="AI53" s="28"/>
      <c r="AJ53" s="28"/>
      <c r="AK53" s="28"/>
      <c r="AL53" s="28"/>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row>
    <row r="54" spans="1:114" s="38" customFormat="1" ht="15.75" customHeight="1">
      <c r="A54" s="123">
        <f t="shared" si="4"/>
        <v>36</v>
      </c>
      <c r="B54" s="101">
        <f t="shared" si="5"/>
        <v>13</v>
      </c>
      <c r="C54" s="102" t="s">
        <v>15</v>
      </c>
      <c r="D54" s="103" t="s">
        <v>17</v>
      </c>
      <c r="E54" s="102" t="s">
        <v>598</v>
      </c>
      <c r="F54" s="104">
        <v>212120000</v>
      </c>
      <c r="G54" s="105"/>
      <c r="H54" s="106">
        <v>120000000</v>
      </c>
      <c r="I54" s="107"/>
      <c r="J54" s="26"/>
      <c r="K54" s="43"/>
      <c r="L54" s="27"/>
      <c r="M54" s="27"/>
      <c r="N54" s="27"/>
      <c r="O54" s="27"/>
      <c r="P54" s="27"/>
      <c r="Q54" s="27"/>
      <c r="R54" s="27"/>
      <c r="S54" s="27"/>
      <c r="T54" s="27"/>
      <c r="U54" s="27"/>
      <c r="V54" s="28"/>
      <c r="W54" s="28"/>
      <c r="X54" s="28"/>
      <c r="Y54" s="28"/>
      <c r="Z54" s="28"/>
      <c r="AA54" s="28"/>
      <c r="AB54" s="28"/>
      <c r="AC54" s="28"/>
      <c r="AD54" s="28"/>
      <c r="AE54" s="28"/>
      <c r="AF54" s="28"/>
      <c r="AG54" s="28"/>
      <c r="AH54" s="28"/>
      <c r="AI54" s="28"/>
      <c r="AJ54" s="28"/>
      <c r="AK54" s="28"/>
      <c r="AL54" s="28"/>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row>
    <row r="55" spans="1:114" s="38" customFormat="1" ht="15.75" customHeight="1">
      <c r="A55" s="123">
        <f t="shared" si="4"/>
        <v>37</v>
      </c>
      <c r="B55" s="101">
        <f t="shared" si="5"/>
        <v>14</v>
      </c>
      <c r="C55" s="102" t="s">
        <v>18</v>
      </c>
      <c r="D55" s="103" t="s">
        <v>19</v>
      </c>
      <c r="E55" s="102" t="s">
        <v>670</v>
      </c>
      <c r="F55" s="104">
        <v>51000000</v>
      </c>
      <c r="G55" s="105"/>
      <c r="H55" s="106">
        <v>30000000</v>
      </c>
      <c r="I55" s="107"/>
      <c r="J55" s="26"/>
      <c r="K55" s="43"/>
      <c r="L55" s="27"/>
      <c r="M55" s="27"/>
      <c r="N55" s="27"/>
      <c r="O55" s="27"/>
      <c r="P55" s="27"/>
      <c r="Q55" s="27"/>
      <c r="R55" s="27"/>
      <c r="S55" s="27"/>
      <c r="T55" s="27"/>
      <c r="U55" s="27"/>
      <c r="V55" s="28"/>
      <c r="W55" s="28"/>
      <c r="X55" s="28"/>
      <c r="Y55" s="28"/>
      <c r="Z55" s="28"/>
      <c r="AA55" s="28"/>
      <c r="AB55" s="28"/>
      <c r="AC55" s="28"/>
      <c r="AD55" s="28"/>
      <c r="AE55" s="28"/>
      <c r="AF55" s="28"/>
      <c r="AG55" s="28"/>
      <c r="AH55" s="28"/>
      <c r="AI55" s="28"/>
      <c r="AJ55" s="28"/>
      <c r="AK55" s="28"/>
      <c r="AL55" s="28"/>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row>
    <row r="56" spans="1:114" s="38" customFormat="1" ht="15.75" customHeight="1">
      <c r="A56" s="123">
        <f t="shared" si="4"/>
        <v>38</v>
      </c>
      <c r="B56" s="101">
        <f t="shared" si="5"/>
        <v>15</v>
      </c>
      <c r="C56" s="102" t="s">
        <v>20</v>
      </c>
      <c r="D56" s="103" t="s">
        <v>21</v>
      </c>
      <c r="E56" s="102" t="s">
        <v>22</v>
      </c>
      <c r="F56" s="104">
        <v>4722321</v>
      </c>
      <c r="G56" s="105"/>
      <c r="H56" s="106"/>
      <c r="I56" s="107"/>
      <c r="J56" s="26"/>
      <c r="K56" s="43"/>
      <c r="L56" s="27"/>
      <c r="M56" s="27"/>
      <c r="N56" s="27"/>
      <c r="O56" s="27"/>
      <c r="P56" s="27"/>
      <c r="Q56" s="27"/>
      <c r="R56" s="27"/>
      <c r="S56" s="27"/>
      <c r="T56" s="27"/>
      <c r="U56" s="27"/>
      <c r="V56" s="28"/>
      <c r="W56" s="28"/>
      <c r="X56" s="28"/>
      <c r="Y56" s="28"/>
      <c r="Z56" s="28"/>
      <c r="AA56" s="28"/>
      <c r="AB56" s="28"/>
      <c r="AC56" s="28"/>
      <c r="AD56" s="28"/>
      <c r="AE56" s="28"/>
      <c r="AF56" s="28"/>
      <c r="AG56" s="28"/>
      <c r="AH56" s="28"/>
      <c r="AI56" s="28"/>
      <c r="AJ56" s="28"/>
      <c r="AK56" s="28"/>
      <c r="AL56" s="28"/>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row>
    <row r="57" spans="1:114" s="38" customFormat="1" ht="15.75" customHeight="1">
      <c r="A57" s="123">
        <f t="shared" si="4"/>
        <v>39</v>
      </c>
      <c r="B57" s="101">
        <f t="shared" si="5"/>
        <v>16</v>
      </c>
      <c r="C57" s="102" t="s">
        <v>23</v>
      </c>
      <c r="D57" s="103" t="s">
        <v>24</v>
      </c>
      <c r="E57" s="102" t="s">
        <v>22</v>
      </c>
      <c r="F57" s="104">
        <v>2555206</v>
      </c>
      <c r="G57" s="105"/>
      <c r="H57" s="106"/>
      <c r="I57" s="107"/>
      <c r="J57" s="26"/>
      <c r="K57" s="43"/>
      <c r="L57" s="27"/>
      <c r="M57" s="27"/>
      <c r="N57" s="27"/>
      <c r="O57" s="27"/>
      <c r="P57" s="27"/>
      <c r="Q57" s="27"/>
      <c r="R57" s="27"/>
      <c r="S57" s="27"/>
      <c r="T57" s="27"/>
      <c r="U57" s="27"/>
      <c r="V57" s="28"/>
      <c r="W57" s="28"/>
      <c r="X57" s="28"/>
      <c r="Y57" s="28"/>
      <c r="Z57" s="28"/>
      <c r="AA57" s="28"/>
      <c r="AB57" s="28"/>
      <c r="AC57" s="28"/>
      <c r="AD57" s="28"/>
      <c r="AE57" s="28"/>
      <c r="AF57" s="28"/>
      <c r="AG57" s="28"/>
      <c r="AH57" s="28"/>
      <c r="AI57" s="28"/>
      <c r="AJ57" s="28"/>
      <c r="AK57" s="28"/>
      <c r="AL57" s="28"/>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row>
    <row r="58" spans="1:114" s="38" customFormat="1" ht="15.75" customHeight="1">
      <c r="A58" s="123">
        <f t="shared" si="4"/>
        <v>40</v>
      </c>
      <c r="B58" s="101">
        <f t="shared" si="5"/>
        <v>17</v>
      </c>
      <c r="C58" s="102" t="s">
        <v>25</v>
      </c>
      <c r="D58" s="103" t="s">
        <v>858</v>
      </c>
      <c r="E58" s="102" t="s">
        <v>597</v>
      </c>
      <c r="F58" s="104">
        <f>214071250.6+219748.03+3785336.02+1480889.63+2447859.77+55000000+100646.82</f>
        <v>277105730.87</v>
      </c>
      <c r="G58" s="105"/>
      <c r="H58" s="106">
        <f>85000000+19000000</f>
        <v>104000000</v>
      </c>
      <c r="I58" s="115" t="s">
        <v>26</v>
      </c>
      <c r="J58" s="26"/>
      <c r="K58" s="43"/>
      <c r="L58" s="27"/>
      <c r="M58" s="27"/>
      <c r="N58" s="27"/>
      <c r="O58" s="27"/>
      <c r="P58" s="27"/>
      <c r="Q58" s="27"/>
      <c r="R58" s="27"/>
      <c r="S58" s="27"/>
      <c r="T58" s="27"/>
      <c r="U58" s="27"/>
      <c r="V58" s="28"/>
      <c r="W58" s="28"/>
      <c r="X58" s="28"/>
      <c r="Y58" s="28"/>
      <c r="Z58" s="28"/>
      <c r="AA58" s="28"/>
      <c r="AB58" s="28"/>
      <c r="AC58" s="28"/>
      <c r="AD58" s="28"/>
      <c r="AE58" s="28"/>
      <c r="AF58" s="28"/>
      <c r="AG58" s="28"/>
      <c r="AH58" s="28"/>
      <c r="AI58" s="28"/>
      <c r="AJ58" s="28"/>
      <c r="AK58" s="28"/>
      <c r="AL58" s="28"/>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row>
    <row r="59" spans="1:114" s="38" customFormat="1" ht="15.75" customHeight="1">
      <c r="A59" s="123">
        <f t="shared" si="4"/>
        <v>41</v>
      </c>
      <c r="B59" s="101">
        <f t="shared" si="5"/>
        <v>18</v>
      </c>
      <c r="C59" s="102" t="s">
        <v>27</v>
      </c>
      <c r="D59" s="103" t="s">
        <v>859</v>
      </c>
      <c r="E59" s="102" t="s">
        <v>597</v>
      </c>
      <c r="F59" s="104">
        <f>193000000+280484.82-8490-538.12+71336.22-38396637</f>
        <v>154946155.92</v>
      </c>
      <c r="G59" s="105"/>
      <c r="H59" s="106">
        <v>50000000</v>
      </c>
      <c r="I59" s="115" t="s">
        <v>28</v>
      </c>
      <c r="J59" s="26"/>
      <c r="K59" s="43"/>
      <c r="L59" s="27"/>
      <c r="M59" s="27"/>
      <c r="N59" s="27"/>
      <c r="O59" s="27"/>
      <c r="P59" s="27"/>
      <c r="Q59" s="27"/>
      <c r="R59" s="27"/>
      <c r="S59" s="27"/>
      <c r="T59" s="27"/>
      <c r="U59" s="27"/>
      <c r="V59" s="28"/>
      <c r="W59" s="28"/>
      <c r="X59" s="28"/>
      <c r="Y59" s="28"/>
      <c r="Z59" s="28"/>
      <c r="AA59" s="28"/>
      <c r="AB59" s="28"/>
      <c r="AC59" s="28"/>
      <c r="AD59" s="28"/>
      <c r="AE59" s="28"/>
      <c r="AF59" s="28"/>
      <c r="AG59" s="28"/>
      <c r="AH59" s="28"/>
      <c r="AI59" s="28"/>
      <c r="AJ59" s="28"/>
      <c r="AK59" s="28"/>
      <c r="AL59" s="28"/>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row>
    <row r="60" spans="1:114" s="38" customFormat="1" ht="15.75" customHeight="1">
      <c r="A60" s="123">
        <f t="shared" si="4"/>
        <v>42</v>
      </c>
      <c r="B60" s="101">
        <f t="shared" si="5"/>
        <v>19</v>
      </c>
      <c r="C60" s="102" t="s">
        <v>29</v>
      </c>
      <c r="D60" s="103" t="s">
        <v>30</v>
      </c>
      <c r="E60" s="102" t="s">
        <v>595</v>
      </c>
      <c r="F60" s="104">
        <f>8905500-5500</f>
        <v>8900000</v>
      </c>
      <c r="G60" s="105"/>
      <c r="H60" s="106"/>
      <c r="I60" s="107"/>
      <c r="J60" s="26"/>
      <c r="K60" s="43"/>
      <c r="L60" s="27"/>
      <c r="M60" s="27"/>
      <c r="N60" s="27"/>
      <c r="O60" s="27"/>
      <c r="P60" s="27"/>
      <c r="Q60" s="27"/>
      <c r="R60" s="27"/>
      <c r="S60" s="27"/>
      <c r="T60" s="27"/>
      <c r="U60" s="27"/>
      <c r="V60" s="28"/>
      <c r="W60" s="28"/>
      <c r="X60" s="28"/>
      <c r="Y60" s="28"/>
      <c r="Z60" s="28"/>
      <c r="AA60" s="28"/>
      <c r="AB60" s="28"/>
      <c r="AC60" s="28"/>
      <c r="AD60" s="28"/>
      <c r="AE60" s="28"/>
      <c r="AF60" s="28"/>
      <c r="AG60" s="28"/>
      <c r="AH60" s="28"/>
      <c r="AI60" s="28"/>
      <c r="AJ60" s="28"/>
      <c r="AK60" s="28"/>
      <c r="AL60" s="28"/>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row>
    <row r="61" spans="1:114" s="30" customFormat="1" ht="15.75" customHeight="1">
      <c r="A61" s="125">
        <f t="shared" si="4"/>
        <v>43</v>
      </c>
      <c r="B61" s="109">
        <f t="shared" si="5"/>
        <v>20</v>
      </c>
      <c r="C61" s="110" t="s">
        <v>31</v>
      </c>
      <c r="D61" s="111" t="s">
        <v>860</v>
      </c>
      <c r="E61" s="110" t="s">
        <v>596</v>
      </c>
      <c r="F61" s="112">
        <v>19658800</v>
      </c>
      <c r="G61" s="113"/>
      <c r="H61" s="106"/>
      <c r="I61" s="107"/>
      <c r="J61" s="26"/>
      <c r="K61" s="43"/>
      <c r="L61" s="27"/>
      <c r="M61" s="27"/>
      <c r="N61" s="27"/>
      <c r="O61" s="27"/>
      <c r="P61" s="27"/>
      <c r="Q61" s="27"/>
      <c r="R61" s="27"/>
      <c r="S61" s="27"/>
      <c r="T61" s="27"/>
      <c r="U61" s="27"/>
      <c r="V61" s="28"/>
      <c r="W61" s="28"/>
      <c r="X61" s="28"/>
      <c r="Y61" s="28"/>
      <c r="Z61" s="28"/>
      <c r="AA61" s="28"/>
      <c r="AB61" s="28"/>
      <c r="AC61" s="28"/>
      <c r="AD61" s="28"/>
      <c r="AE61" s="28"/>
      <c r="AF61" s="28"/>
      <c r="AG61" s="28"/>
      <c r="AH61" s="28"/>
      <c r="AI61" s="28"/>
      <c r="AJ61" s="28"/>
      <c r="AK61" s="28"/>
      <c r="AL61" s="28"/>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row>
    <row r="62" spans="1:114" s="38" customFormat="1" ht="15.75" customHeight="1">
      <c r="A62" s="123">
        <f t="shared" si="4"/>
        <v>44</v>
      </c>
      <c r="B62" s="101">
        <f t="shared" si="5"/>
        <v>21</v>
      </c>
      <c r="C62" s="102" t="s">
        <v>32</v>
      </c>
      <c r="D62" s="103" t="s">
        <v>33</v>
      </c>
      <c r="E62" s="102" t="s">
        <v>595</v>
      </c>
      <c r="F62" s="104">
        <f>5933500-3500</f>
        <v>5930000</v>
      </c>
      <c r="G62" s="105"/>
      <c r="H62" s="106"/>
      <c r="I62" s="107"/>
      <c r="J62" s="26"/>
      <c r="K62" s="43"/>
      <c r="L62" s="27"/>
      <c r="M62" s="27"/>
      <c r="N62" s="27"/>
      <c r="O62" s="27"/>
      <c r="P62" s="27"/>
      <c r="Q62" s="27"/>
      <c r="R62" s="27"/>
      <c r="S62" s="27"/>
      <c r="T62" s="27"/>
      <c r="U62" s="27"/>
      <c r="V62" s="28"/>
      <c r="W62" s="28"/>
      <c r="X62" s="28"/>
      <c r="Y62" s="28"/>
      <c r="Z62" s="28"/>
      <c r="AA62" s="28"/>
      <c r="AB62" s="28"/>
      <c r="AC62" s="28"/>
      <c r="AD62" s="28"/>
      <c r="AE62" s="28"/>
      <c r="AF62" s="28"/>
      <c r="AG62" s="28"/>
      <c r="AH62" s="28"/>
      <c r="AI62" s="28"/>
      <c r="AJ62" s="28"/>
      <c r="AK62" s="28"/>
      <c r="AL62" s="28"/>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row>
    <row r="63" spans="1:114" s="38" customFormat="1" ht="15.75" customHeight="1">
      <c r="A63" s="123">
        <f t="shared" si="4"/>
        <v>45</v>
      </c>
      <c r="B63" s="101">
        <f t="shared" si="5"/>
        <v>22</v>
      </c>
      <c r="C63" s="102" t="s">
        <v>34</v>
      </c>
      <c r="D63" s="103" t="s">
        <v>861</v>
      </c>
      <c r="E63" s="102" t="s">
        <v>596</v>
      </c>
      <c r="F63" s="104">
        <v>14372806.76</v>
      </c>
      <c r="G63" s="105"/>
      <c r="H63" s="106"/>
      <c r="I63" s="107"/>
      <c r="J63" s="26"/>
      <c r="K63" s="43"/>
      <c r="L63" s="27"/>
      <c r="M63" s="27"/>
      <c r="N63" s="27"/>
      <c r="O63" s="27"/>
      <c r="P63" s="27"/>
      <c r="Q63" s="27"/>
      <c r="R63" s="27"/>
      <c r="S63" s="27"/>
      <c r="T63" s="27"/>
      <c r="U63" s="27"/>
      <c r="V63" s="28"/>
      <c r="W63" s="28"/>
      <c r="X63" s="28"/>
      <c r="Y63" s="28"/>
      <c r="Z63" s="28"/>
      <c r="AA63" s="28"/>
      <c r="AB63" s="28"/>
      <c r="AC63" s="28"/>
      <c r="AD63" s="28"/>
      <c r="AE63" s="28"/>
      <c r="AF63" s="28"/>
      <c r="AG63" s="28"/>
      <c r="AH63" s="28"/>
      <c r="AI63" s="28"/>
      <c r="AJ63" s="28"/>
      <c r="AK63" s="28"/>
      <c r="AL63" s="28"/>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row>
    <row r="64" spans="1:114" s="38" customFormat="1" ht="15.75" customHeight="1">
      <c r="A64" s="82">
        <f t="shared" si="4"/>
        <v>46</v>
      </c>
      <c r="B64" s="83">
        <f t="shared" si="5"/>
        <v>23</v>
      </c>
      <c r="C64" s="84" t="s">
        <v>35</v>
      </c>
      <c r="D64" s="85" t="s">
        <v>37</v>
      </c>
      <c r="E64" s="84" t="s">
        <v>595</v>
      </c>
      <c r="F64" s="86">
        <f>5102000-2000</f>
        <v>5100000</v>
      </c>
      <c r="G64" s="87"/>
      <c r="H64" s="88"/>
      <c r="I64" s="89"/>
      <c r="J64" s="26"/>
      <c r="K64" s="43"/>
      <c r="L64" s="27"/>
      <c r="M64" s="27"/>
      <c r="N64" s="27"/>
      <c r="O64" s="27"/>
      <c r="P64" s="27"/>
      <c r="Q64" s="27"/>
      <c r="R64" s="27"/>
      <c r="S64" s="27"/>
      <c r="T64" s="27"/>
      <c r="U64" s="27"/>
      <c r="V64" s="28"/>
      <c r="W64" s="28"/>
      <c r="X64" s="28"/>
      <c r="Y64" s="28"/>
      <c r="Z64" s="28"/>
      <c r="AA64" s="28"/>
      <c r="AB64" s="28"/>
      <c r="AC64" s="28"/>
      <c r="AD64" s="28"/>
      <c r="AE64" s="28"/>
      <c r="AF64" s="28"/>
      <c r="AG64" s="28"/>
      <c r="AH64" s="28"/>
      <c r="AI64" s="28"/>
      <c r="AJ64" s="28"/>
      <c r="AK64" s="28"/>
      <c r="AL64" s="28"/>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row>
    <row r="65" spans="1:114" s="30" customFormat="1" ht="15.75" customHeight="1">
      <c r="A65" s="282" t="s">
        <v>38</v>
      </c>
      <c r="B65" s="283"/>
      <c r="C65" s="283"/>
      <c r="D65" s="283"/>
      <c r="E65" s="22"/>
      <c r="F65" s="23">
        <f>SUM(F42:F64)</f>
        <v>2579176600.55</v>
      </c>
      <c r="G65" s="23"/>
      <c r="H65" s="24">
        <f>SUM(H42:H64)</f>
        <v>2047447711</v>
      </c>
      <c r="I65" s="25"/>
      <c r="J65" s="26"/>
      <c r="K65" s="27"/>
      <c r="L65" s="27"/>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row>
    <row r="66" spans="1:114" s="38" customFormat="1" ht="15.75" customHeight="1">
      <c r="A66" s="291">
        <v>1995</v>
      </c>
      <c r="B66" s="292"/>
      <c r="C66" s="292"/>
      <c r="D66" s="292"/>
      <c r="E66" s="292"/>
      <c r="F66" s="292"/>
      <c r="G66" s="292"/>
      <c r="H66" s="292"/>
      <c r="I66" s="293"/>
      <c r="J66" s="26"/>
      <c r="K66" s="43"/>
      <c r="L66" s="27"/>
      <c r="M66" s="27"/>
      <c r="N66" s="27"/>
      <c r="O66" s="27"/>
      <c r="P66" s="27"/>
      <c r="Q66" s="27"/>
      <c r="R66" s="27"/>
      <c r="S66" s="27"/>
      <c r="T66" s="27"/>
      <c r="U66" s="27"/>
      <c r="V66" s="28"/>
      <c r="W66" s="28"/>
      <c r="X66" s="28"/>
      <c r="Y66" s="28"/>
      <c r="Z66" s="28"/>
      <c r="AA66" s="28"/>
      <c r="AB66" s="28"/>
      <c r="AC66" s="28"/>
      <c r="AD66" s="28"/>
      <c r="AE66" s="28"/>
      <c r="AF66" s="28"/>
      <c r="AG66" s="28"/>
      <c r="AH66" s="28"/>
      <c r="AI66" s="28"/>
      <c r="AJ66" s="28"/>
      <c r="AK66" s="28"/>
      <c r="AL66" s="28"/>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row>
    <row r="67" spans="1:114" s="38" customFormat="1" ht="15.75" customHeight="1">
      <c r="A67" s="75">
        <f>A64+1</f>
        <v>47</v>
      </c>
      <c r="B67" s="76">
        <v>1</v>
      </c>
      <c r="C67" s="77" t="s">
        <v>39</v>
      </c>
      <c r="D67" s="78" t="s">
        <v>40</v>
      </c>
      <c r="E67" s="77" t="s">
        <v>595</v>
      </c>
      <c r="F67" s="98">
        <f>10254750-4000</f>
        <v>10250750</v>
      </c>
      <c r="G67" s="99"/>
      <c r="H67" s="79"/>
      <c r="I67" s="81"/>
      <c r="J67" s="26"/>
      <c r="K67" s="43"/>
      <c r="L67" s="27"/>
      <c r="M67" s="27"/>
      <c r="N67" s="27"/>
      <c r="O67" s="27"/>
      <c r="P67" s="27"/>
      <c r="Q67" s="27"/>
      <c r="R67" s="27"/>
      <c r="S67" s="27"/>
      <c r="T67" s="27"/>
      <c r="U67" s="27"/>
      <c r="V67" s="28"/>
      <c r="W67" s="28"/>
      <c r="X67" s="28"/>
      <c r="Y67" s="28"/>
      <c r="Z67" s="28"/>
      <c r="AA67" s="28"/>
      <c r="AB67" s="28"/>
      <c r="AC67" s="28"/>
      <c r="AD67" s="28"/>
      <c r="AE67" s="28"/>
      <c r="AF67" s="28"/>
      <c r="AG67" s="28"/>
      <c r="AH67" s="28"/>
      <c r="AI67" s="28"/>
      <c r="AJ67" s="28"/>
      <c r="AK67" s="28"/>
      <c r="AL67" s="28"/>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row>
    <row r="68" spans="1:114" s="38" customFormat="1" ht="15.75" customHeight="1">
      <c r="A68" s="123">
        <f aca="true" t="shared" si="6" ref="A68:A96">A67+1</f>
        <v>48</v>
      </c>
      <c r="B68" s="101">
        <f aca="true" t="shared" si="7" ref="B68:B96">B67+1</f>
        <v>2</v>
      </c>
      <c r="C68" s="102" t="s">
        <v>41</v>
      </c>
      <c r="D68" s="103" t="s">
        <v>42</v>
      </c>
      <c r="E68" s="102" t="s">
        <v>688</v>
      </c>
      <c r="F68" s="104">
        <v>151165</v>
      </c>
      <c r="G68" s="105"/>
      <c r="H68" s="106"/>
      <c r="I68" s="107"/>
      <c r="J68" s="26"/>
      <c r="K68" s="43"/>
      <c r="L68" s="27"/>
      <c r="M68" s="27"/>
      <c r="N68" s="27"/>
      <c r="O68" s="27"/>
      <c r="P68" s="27"/>
      <c r="Q68" s="27"/>
      <c r="R68" s="27"/>
      <c r="S68" s="27"/>
      <c r="T68" s="27"/>
      <c r="U68" s="27"/>
      <c r="V68" s="28"/>
      <c r="W68" s="28"/>
      <c r="X68" s="28"/>
      <c r="Y68" s="28"/>
      <c r="Z68" s="28"/>
      <c r="AA68" s="28"/>
      <c r="AB68" s="28"/>
      <c r="AC68" s="28"/>
      <c r="AD68" s="28"/>
      <c r="AE68" s="28"/>
      <c r="AF68" s="28"/>
      <c r="AG68" s="28"/>
      <c r="AH68" s="28"/>
      <c r="AI68" s="28"/>
      <c r="AJ68" s="28"/>
      <c r="AK68" s="28"/>
      <c r="AL68" s="28"/>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row>
    <row r="69" spans="1:114" s="38" customFormat="1" ht="15.75" customHeight="1">
      <c r="A69" s="123">
        <f t="shared" si="6"/>
        <v>49</v>
      </c>
      <c r="B69" s="101">
        <f t="shared" si="7"/>
        <v>3</v>
      </c>
      <c r="C69" s="102" t="s">
        <v>43</v>
      </c>
      <c r="D69" s="103" t="s">
        <v>44</v>
      </c>
      <c r="E69" s="102" t="s">
        <v>595</v>
      </c>
      <c r="F69" s="104">
        <f>7505500-5500</f>
        <v>7500000</v>
      </c>
      <c r="G69" s="105"/>
      <c r="H69" s="106"/>
      <c r="I69" s="107"/>
      <c r="J69" s="26"/>
      <c r="K69" s="43"/>
      <c r="L69" s="27"/>
      <c r="M69" s="27"/>
      <c r="N69" s="27"/>
      <c r="O69" s="27"/>
      <c r="P69" s="27"/>
      <c r="Q69" s="27"/>
      <c r="R69" s="27"/>
      <c r="S69" s="27"/>
      <c r="T69" s="27"/>
      <c r="U69" s="27"/>
      <c r="V69" s="28"/>
      <c r="W69" s="28"/>
      <c r="X69" s="28"/>
      <c r="Y69" s="28"/>
      <c r="Z69" s="28"/>
      <c r="AA69" s="28"/>
      <c r="AB69" s="28"/>
      <c r="AC69" s="28"/>
      <c r="AD69" s="28"/>
      <c r="AE69" s="28"/>
      <c r="AF69" s="28"/>
      <c r="AG69" s="28"/>
      <c r="AH69" s="28"/>
      <c r="AI69" s="28"/>
      <c r="AJ69" s="28"/>
      <c r="AK69" s="28"/>
      <c r="AL69" s="28"/>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row>
    <row r="70" spans="1:114" s="38" customFormat="1" ht="15.75" customHeight="1">
      <c r="A70" s="123">
        <f t="shared" si="6"/>
        <v>50</v>
      </c>
      <c r="B70" s="101">
        <f t="shared" si="7"/>
        <v>4</v>
      </c>
      <c r="C70" s="102" t="s">
        <v>43</v>
      </c>
      <c r="D70" s="103" t="s">
        <v>862</v>
      </c>
      <c r="E70" s="102" t="s">
        <v>45</v>
      </c>
      <c r="F70" s="104">
        <f>25296643-2112222-4507777</f>
        <v>18676644</v>
      </c>
      <c r="G70" s="105"/>
      <c r="H70" s="106">
        <f>16611686-1184303-5520960</f>
        <v>9906423</v>
      </c>
      <c r="I70" s="115" t="s">
        <v>696</v>
      </c>
      <c r="J70" s="26"/>
      <c r="K70" s="43"/>
      <c r="L70" s="27"/>
      <c r="M70" s="27"/>
      <c r="N70" s="27"/>
      <c r="O70" s="27"/>
      <c r="P70" s="27"/>
      <c r="Q70" s="27"/>
      <c r="R70" s="27"/>
      <c r="S70" s="27"/>
      <c r="T70" s="27"/>
      <c r="U70" s="27"/>
      <c r="V70" s="28"/>
      <c r="W70" s="28"/>
      <c r="X70" s="28"/>
      <c r="Y70" s="28"/>
      <c r="Z70" s="28"/>
      <c r="AA70" s="28"/>
      <c r="AB70" s="28"/>
      <c r="AC70" s="28"/>
      <c r="AD70" s="28"/>
      <c r="AE70" s="28"/>
      <c r="AF70" s="28"/>
      <c r="AG70" s="28"/>
      <c r="AH70" s="28"/>
      <c r="AI70" s="28"/>
      <c r="AJ70" s="28"/>
      <c r="AK70" s="28"/>
      <c r="AL70" s="28"/>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row>
    <row r="71" spans="1:114" s="38" customFormat="1" ht="15.75" customHeight="1">
      <c r="A71" s="123">
        <f t="shared" si="6"/>
        <v>51</v>
      </c>
      <c r="B71" s="101">
        <f t="shared" si="7"/>
        <v>5</v>
      </c>
      <c r="C71" s="102" t="s">
        <v>46</v>
      </c>
      <c r="D71" s="103" t="s">
        <v>863</v>
      </c>
      <c r="E71" s="102" t="s">
        <v>736</v>
      </c>
      <c r="F71" s="104">
        <v>19710594</v>
      </c>
      <c r="G71" s="105"/>
      <c r="H71" s="106"/>
      <c r="I71" s="107"/>
      <c r="J71" s="26"/>
      <c r="K71" s="43"/>
      <c r="L71" s="27"/>
      <c r="M71" s="27"/>
      <c r="N71" s="27"/>
      <c r="O71" s="27"/>
      <c r="P71" s="27"/>
      <c r="Q71" s="27"/>
      <c r="R71" s="27"/>
      <c r="S71" s="27"/>
      <c r="T71" s="27"/>
      <c r="U71" s="27"/>
      <c r="V71" s="28"/>
      <c r="W71" s="28"/>
      <c r="X71" s="28"/>
      <c r="Y71" s="28"/>
      <c r="Z71" s="28"/>
      <c r="AA71" s="28"/>
      <c r="AB71" s="28"/>
      <c r="AC71" s="28"/>
      <c r="AD71" s="28"/>
      <c r="AE71" s="28"/>
      <c r="AF71" s="28"/>
      <c r="AG71" s="28"/>
      <c r="AH71" s="28"/>
      <c r="AI71" s="28"/>
      <c r="AJ71" s="28"/>
      <c r="AK71" s="28"/>
      <c r="AL71" s="28"/>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row>
    <row r="72" spans="1:114" s="38" customFormat="1" ht="15.75" customHeight="1">
      <c r="A72" s="123">
        <f t="shared" si="6"/>
        <v>52</v>
      </c>
      <c r="B72" s="101">
        <f t="shared" si="7"/>
        <v>6</v>
      </c>
      <c r="C72" s="124" t="s">
        <v>47</v>
      </c>
      <c r="D72" s="103" t="s">
        <v>864</v>
      </c>
      <c r="E72" s="102" t="s">
        <v>595</v>
      </c>
      <c r="F72" s="104">
        <v>2154500</v>
      </c>
      <c r="G72" s="105"/>
      <c r="H72" s="106"/>
      <c r="I72" s="107"/>
      <c r="J72" s="26"/>
      <c r="K72" s="43"/>
      <c r="L72" s="27"/>
      <c r="M72" s="27"/>
      <c r="N72" s="27"/>
      <c r="O72" s="27"/>
      <c r="P72" s="27"/>
      <c r="Q72" s="27"/>
      <c r="R72" s="27"/>
      <c r="S72" s="27"/>
      <c r="T72" s="27"/>
      <c r="U72" s="27"/>
      <c r="V72" s="28"/>
      <c r="W72" s="28"/>
      <c r="X72" s="28"/>
      <c r="Y72" s="28"/>
      <c r="Z72" s="28"/>
      <c r="AA72" s="28"/>
      <c r="AB72" s="28"/>
      <c r="AC72" s="28"/>
      <c r="AD72" s="28"/>
      <c r="AE72" s="28"/>
      <c r="AF72" s="28"/>
      <c r="AG72" s="28"/>
      <c r="AH72" s="28"/>
      <c r="AI72" s="28"/>
      <c r="AJ72" s="28"/>
      <c r="AK72" s="28"/>
      <c r="AL72" s="28"/>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row>
    <row r="73" spans="1:114" s="38" customFormat="1" ht="15.75" customHeight="1">
      <c r="A73" s="123">
        <f t="shared" si="6"/>
        <v>53</v>
      </c>
      <c r="B73" s="101">
        <f t="shared" si="7"/>
        <v>7</v>
      </c>
      <c r="C73" s="102" t="s">
        <v>48</v>
      </c>
      <c r="D73" s="103" t="s">
        <v>865</v>
      </c>
      <c r="E73" s="102" t="s">
        <v>595</v>
      </c>
      <c r="F73" s="104">
        <f>6735975+55003</f>
        <v>6790978</v>
      </c>
      <c r="G73" s="105"/>
      <c r="H73" s="106"/>
      <c r="I73" s="115"/>
      <c r="J73" s="26"/>
      <c r="K73" s="43"/>
      <c r="L73" s="27"/>
      <c r="M73" s="27"/>
      <c r="N73" s="27"/>
      <c r="O73" s="27"/>
      <c r="P73" s="27"/>
      <c r="Q73" s="27"/>
      <c r="R73" s="27"/>
      <c r="S73" s="27"/>
      <c r="T73" s="27"/>
      <c r="U73" s="27"/>
      <c r="V73" s="28"/>
      <c r="W73" s="28"/>
      <c r="X73" s="28"/>
      <c r="Y73" s="28"/>
      <c r="Z73" s="28"/>
      <c r="AA73" s="28"/>
      <c r="AB73" s="28"/>
      <c r="AC73" s="28"/>
      <c r="AD73" s="28"/>
      <c r="AE73" s="28"/>
      <c r="AF73" s="28"/>
      <c r="AG73" s="28"/>
      <c r="AH73" s="28"/>
      <c r="AI73" s="28"/>
      <c r="AJ73" s="28"/>
      <c r="AK73" s="28"/>
      <c r="AL73" s="28"/>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row>
    <row r="74" spans="1:114" s="38" customFormat="1" ht="15.75" customHeight="1">
      <c r="A74" s="123">
        <f t="shared" si="6"/>
        <v>54</v>
      </c>
      <c r="B74" s="101">
        <f t="shared" si="7"/>
        <v>8</v>
      </c>
      <c r="C74" s="102" t="s">
        <v>49</v>
      </c>
      <c r="D74" s="103" t="s">
        <v>862</v>
      </c>
      <c r="E74" s="102" t="s">
        <v>45</v>
      </c>
      <c r="F74" s="104">
        <v>17498486</v>
      </c>
      <c r="G74" s="105"/>
      <c r="H74" s="106">
        <f>4307797-249374+180000</f>
        <v>4238423</v>
      </c>
      <c r="I74" s="107" t="s">
        <v>696</v>
      </c>
      <c r="J74" s="26"/>
      <c r="K74" s="43"/>
      <c r="L74" s="27"/>
      <c r="M74" s="27"/>
      <c r="N74" s="27"/>
      <c r="O74" s="27"/>
      <c r="P74" s="27"/>
      <c r="Q74" s="27"/>
      <c r="R74" s="27"/>
      <c r="S74" s="27"/>
      <c r="T74" s="27"/>
      <c r="U74" s="27"/>
      <c r="V74" s="28"/>
      <c r="W74" s="28"/>
      <c r="X74" s="28"/>
      <c r="Y74" s="28"/>
      <c r="Z74" s="28"/>
      <c r="AA74" s="28"/>
      <c r="AB74" s="28"/>
      <c r="AC74" s="28"/>
      <c r="AD74" s="28"/>
      <c r="AE74" s="28"/>
      <c r="AF74" s="28"/>
      <c r="AG74" s="28"/>
      <c r="AH74" s="28"/>
      <c r="AI74" s="28"/>
      <c r="AJ74" s="28"/>
      <c r="AK74" s="28"/>
      <c r="AL74" s="28"/>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row>
    <row r="75" spans="1:114" s="38" customFormat="1" ht="15.75" customHeight="1">
      <c r="A75" s="123">
        <f t="shared" si="6"/>
        <v>55</v>
      </c>
      <c r="B75" s="101">
        <f t="shared" si="7"/>
        <v>9</v>
      </c>
      <c r="C75" s="102" t="s">
        <v>50</v>
      </c>
      <c r="D75" s="103" t="s">
        <v>866</v>
      </c>
      <c r="E75" s="102" t="s">
        <v>670</v>
      </c>
      <c r="F75" s="104">
        <f>255700000</f>
        <v>255700000</v>
      </c>
      <c r="G75" s="105"/>
      <c r="H75" s="106"/>
      <c r="I75" s="107"/>
      <c r="J75" s="26"/>
      <c r="K75" s="43"/>
      <c r="L75" s="27"/>
      <c r="M75" s="27"/>
      <c r="N75" s="27"/>
      <c r="O75" s="27"/>
      <c r="P75" s="27"/>
      <c r="Q75" s="27"/>
      <c r="R75" s="27"/>
      <c r="S75" s="27"/>
      <c r="T75" s="27"/>
      <c r="U75" s="27"/>
      <c r="V75" s="28"/>
      <c r="W75" s="28"/>
      <c r="X75" s="28"/>
      <c r="Y75" s="28"/>
      <c r="Z75" s="28"/>
      <c r="AA75" s="28"/>
      <c r="AB75" s="28"/>
      <c r="AC75" s="28"/>
      <c r="AD75" s="28"/>
      <c r="AE75" s="28"/>
      <c r="AF75" s="28"/>
      <c r="AG75" s="28"/>
      <c r="AH75" s="28"/>
      <c r="AI75" s="28"/>
      <c r="AJ75" s="28"/>
      <c r="AK75" s="28"/>
      <c r="AL75" s="28"/>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row>
    <row r="76" spans="1:114" s="38" customFormat="1" ht="15.75" customHeight="1">
      <c r="A76" s="123">
        <f t="shared" si="6"/>
        <v>56</v>
      </c>
      <c r="B76" s="101">
        <f t="shared" si="7"/>
        <v>10</v>
      </c>
      <c r="C76" s="102" t="s">
        <v>51</v>
      </c>
      <c r="D76" s="103" t="s">
        <v>867</v>
      </c>
      <c r="E76" s="102" t="s">
        <v>598</v>
      </c>
      <c r="F76" s="104">
        <v>41814000</v>
      </c>
      <c r="G76" s="105"/>
      <c r="H76" s="106"/>
      <c r="I76" s="107"/>
      <c r="J76" s="26"/>
      <c r="K76" s="43"/>
      <c r="L76" s="27"/>
      <c r="M76" s="27"/>
      <c r="N76" s="27"/>
      <c r="O76" s="27"/>
      <c r="P76" s="27"/>
      <c r="Q76" s="27"/>
      <c r="R76" s="27"/>
      <c r="S76" s="27"/>
      <c r="T76" s="27"/>
      <c r="U76" s="27"/>
      <c r="V76" s="28"/>
      <c r="W76" s="28"/>
      <c r="X76" s="28"/>
      <c r="Y76" s="28"/>
      <c r="Z76" s="28"/>
      <c r="AA76" s="28"/>
      <c r="AB76" s="28"/>
      <c r="AC76" s="28"/>
      <c r="AD76" s="28"/>
      <c r="AE76" s="28"/>
      <c r="AF76" s="28"/>
      <c r="AG76" s="28"/>
      <c r="AH76" s="28"/>
      <c r="AI76" s="28"/>
      <c r="AJ76" s="28"/>
      <c r="AK76" s="28"/>
      <c r="AL76" s="28"/>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row>
    <row r="77" spans="1:114" s="38" customFormat="1" ht="15.75" customHeight="1">
      <c r="A77" s="123">
        <f t="shared" si="6"/>
        <v>57</v>
      </c>
      <c r="B77" s="101">
        <f t="shared" si="7"/>
        <v>11</v>
      </c>
      <c r="C77" s="102" t="s">
        <v>52</v>
      </c>
      <c r="D77" s="103" t="s">
        <v>868</v>
      </c>
      <c r="E77" s="102" t="s">
        <v>45</v>
      </c>
      <c r="F77" s="104">
        <f>3333333+255000</f>
        <v>3588333</v>
      </c>
      <c r="G77" s="105"/>
      <c r="H77" s="106">
        <f>2000000+127500</f>
        <v>2127500</v>
      </c>
      <c r="I77" s="107" t="s">
        <v>696</v>
      </c>
      <c r="J77" s="26"/>
      <c r="K77" s="43"/>
      <c r="L77" s="27"/>
      <c r="M77" s="27"/>
      <c r="N77" s="27"/>
      <c r="O77" s="27"/>
      <c r="P77" s="27"/>
      <c r="Q77" s="27"/>
      <c r="R77" s="27"/>
      <c r="S77" s="27"/>
      <c r="T77" s="27"/>
      <c r="U77" s="27"/>
      <c r="V77" s="28"/>
      <c r="W77" s="28"/>
      <c r="X77" s="28"/>
      <c r="Y77" s="28"/>
      <c r="Z77" s="28"/>
      <c r="AA77" s="28"/>
      <c r="AB77" s="28"/>
      <c r="AC77" s="28"/>
      <c r="AD77" s="28"/>
      <c r="AE77" s="28"/>
      <c r="AF77" s="28"/>
      <c r="AG77" s="28"/>
      <c r="AH77" s="28"/>
      <c r="AI77" s="28"/>
      <c r="AJ77" s="28"/>
      <c r="AK77" s="28"/>
      <c r="AL77" s="28"/>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row>
    <row r="78" spans="1:114" s="38" customFormat="1" ht="15.75" customHeight="1">
      <c r="A78" s="123">
        <f t="shared" si="6"/>
        <v>58</v>
      </c>
      <c r="B78" s="101">
        <f t="shared" si="7"/>
        <v>12</v>
      </c>
      <c r="C78" s="102" t="s">
        <v>52</v>
      </c>
      <c r="D78" s="103" t="s">
        <v>53</v>
      </c>
      <c r="E78" s="102" t="s">
        <v>45</v>
      </c>
      <c r="F78" s="104">
        <f>6140+9122+212500+130000+99800+58000+212000+199000+55200</f>
        <v>981762</v>
      </c>
      <c r="G78" s="105"/>
      <c r="H78" s="106"/>
      <c r="I78" s="107"/>
      <c r="J78" s="26"/>
      <c r="K78" s="43"/>
      <c r="L78" s="27"/>
      <c r="M78" s="27"/>
      <c r="N78" s="27"/>
      <c r="O78" s="27"/>
      <c r="P78" s="27"/>
      <c r="Q78" s="27"/>
      <c r="R78" s="27"/>
      <c r="S78" s="27"/>
      <c r="T78" s="27"/>
      <c r="U78" s="27"/>
      <c r="V78" s="28"/>
      <c r="W78" s="28"/>
      <c r="X78" s="28"/>
      <c r="Y78" s="28"/>
      <c r="Z78" s="28"/>
      <c r="AA78" s="28"/>
      <c r="AB78" s="28"/>
      <c r="AC78" s="28"/>
      <c r="AD78" s="28"/>
      <c r="AE78" s="28"/>
      <c r="AF78" s="28"/>
      <c r="AG78" s="28"/>
      <c r="AH78" s="28"/>
      <c r="AI78" s="28"/>
      <c r="AJ78" s="28"/>
      <c r="AK78" s="28"/>
      <c r="AL78" s="28"/>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row>
    <row r="79" spans="1:114" s="38" customFormat="1" ht="15.75" customHeight="1">
      <c r="A79" s="123">
        <f t="shared" si="6"/>
        <v>59</v>
      </c>
      <c r="B79" s="101">
        <f t="shared" si="7"/>
        <v>13</v>
      </c>
      <c r="C79" s="102" t="s">
        <v>54</v>
      </c>
      <c r="D79" s="103" t="s">
        <v>864</v>
      </c>
      <c r="E79" s="102" t="s">
        <v>595</v>
      </c>
      <c r="F79" s="104">
        <v>1832895</v>
      </c>
      <c r="G79" s="105"/>
      <c r="H79" s="106"/>
      <c r="I79" s="107"/>
      <c r="J79" s="26"/>
      <c r="K79" s="43"/>
      <c r="L79" s="27"/>
      <c r="M79" s="27"/>
      <c r="N79" s="27"/>
      <c r="O79" s="27"/>
      <c r="P79" s="27"/>
      <c r="Q79" s="27"/>
      <c r="R79" s="27"/>
      <c r="S79" s="27"/>
      <c r="T79" s="27"/>
      <c r="U79" s="27"/>
      <c r="V79" s="28"/>
      <c r="W79" s="28"/>
      <c r="X79" s="28"/>
      <c r="Y79" s="28"/>
      <c r="Z79" s="28"/>
      <c r="AA79" s="28"/>
      <c r="AB79" s="28"/>
      <c r="AC79" s="28"/>
      <c r="AD79" s="28"/>
      <c r="AE79" s="28"/>
      <c r="AF79" s="28"/>
      <c r="AG79" s="28"/>
      <c r="AH79" s="28"/>
      <c r="AI79" s="28"/>
      <c r="AJ79" s="28"/>
      <c r="AK79" s="28"/>
      <c r="AL79" s="28"/>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row>
    <row r="80" spans="1:114" s="38" customFormat="1" ht="15.75" customHeight="1">
      <c r="A80" s="123">
        <f t="shared" si="6"/>
        <v>60</v>
      </c>
      <c r="B80" s="101">
        <f t="shared" si="7"/>
        <v>14</v>
      </c>
      <c r="C80" s="102" t="s">
        <v>61</v>
      </c>
      <c r="D80" s="103" t="s">
        <v>869</v>
      </c>
      <c r="E80" s="102" t="s">
        <v>595</v>
      </c>
      <c r="F80" s="104">
        <v>4753928</v>
      </c>
      <c r="G80" s="105"/>
      <c r="H80" s="106"/>
      <c r="I80" s="107"/>
      <c r="J80" s="26"/>
      <c r="K80" s="43"/>
      <c r="L80" s="27"/>
      <c r="M80" s="27"/>
      <c r="N80" s="27"/>
      <c r="O80" s="27"/>
      <c r="P80" s="27"/>
      <c r="Q80" s="27"/>
      <c r="R80" s="27"/>
      <c r="S80" s="27"/>
      <c r="T80" s="27"/>
      <c r="U80" s="27"/>
      <c r="V80" s="28"/>
      <c r="W80" s="28"/>
      <c r="X80" s="28"/>
      <c r="Y80" s="28"/>
      <c r="Z80" s="28"/>
      <c r="AA80" s="28"/>
      <c r="AB80" s="28"/>
      <c r="AC80" s="28"/>
      <c r="AD80" s="28"/>
      <c r="AE80" s="28"/>
      <c r="AF80" s="28"/>
      <c r="AG80" s="28"/>
      <c r="AH80" s="28"/>
      <c r="AI80" s="28"/>
      <c r="AJ80" s="28"/>
      <c r="AK80" s="28"/>
      <c r="AL80" s="28"/>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row>
    <row r="81" spans="1:114" s="38" customFormat="1" ht="15.75" customHeight="1">
      <c r="A81" s="123">
        <f t="shared" si="6"/>
        <v>61</v>
      </c>
      <c r="B81" s="101">
        <f t="shared" si="7"/>
        <v>15</v>
      </c>
      <c r="C81" s="102" t="s">
        <v>62</v>
      </c>
      <c r="D81" s="103" t="s">
        <v>870</v>
      </c>
      <c r="E81" s="102" t="s">
        <v>596</v>
      </c>
      <c r="F81" s="104">
        <f>12133632</f>
        <v>12133632</v>
      </c>
      <c r="G81" s="105"/>
      <c r="H81" s="106"/>
      <c r="I81" s="107"/>
      <c r="J81" s="26"/>
      <c r="K81" s="43"/>
      <c r="L81" s="27"/>
      <c r="M81" s="27"/>
      <c r="N81" s="27"/>
      <c r="O81" s="27"/>
      <c r="P81" s="27"/>
      <c r="Q81" s="27"/>
      <c r="R81" s="27"/>
      <c r="S81" s="27"/>
      <c r="T81" s="27"/>
      <c r="U81" s="27"/>
      <c r="V81" s="28"/>
      <c r="W81" s="28"/>
      <c r="X81" s="28"/>
      <c r="Y81" s="28"/>
      <c r="Z81" s="28"/>
      <c r="AA81" s="28"/>
      <c r="AB81" s="28"/>
      <c r="AC81" s="28"/>
      <c r="AD81" s="28"/>
      <c r="AE81" s="28"/>
      <c r="AF81" s="28"/>
      <c r="AG81" s="28"/>
      <c r="AH81" s="28"/>
      <c r="AI81" s="28"/>
      <c r="AJ81" s="28"/>
      <c r="AK81" s="28"/>
      <c r="AL81" s="28"/>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row>
    <row r="82" spans="1:114" s="38" customFormat="1" ht="15.75" customHeight="1">
      <c r="A82" s="123">
        <f t="shared" si="6"/>
        <v>62</v>
      </c>
      <c r="B82" s="101">
        <f t="shared" si="7"/>
        <v>16</v>
      </c>
      <c r="C82" s="102" t="s">
        <v>63</v>
      </c>
      <c r="D82" s="103" t="s">
        <v>870</v>
      </c>
      <c r="E82" s="102" t="s">
        <v>596</v>
      </c>
      <c r="F82" s="104">
        <f>82322787.2/2.24+19342619.37</f>
        <v>56093863.65571429</v>
      </c>
      <c r="G82" s="105"/>
      <c r="H82" s="106"/>
      <c r="I82" s="107"/>
      <c r="J82" s="26"/>
      <c r="K82" s="43"/>
      <c r="L82" s="27"/>
      <c r="M82" s="27"/>
      <c r="N82" s="27"/>
      <c r="O82" s="27"/>
      <c r="P82" s="27"/>
      <c r="Q82" s="27"/>
      <c r="R82" s="27"/>
      <c r="S82" s="27"/>
      <c r="T82" s="27"/>
      <c r="U82" s="27"/>
      <c r="V82" s="28"/>
      <c r="W82" s="28"/>
      <c r="X82" s="28"/>
      <c r="Y82" s="28"/>
      <c r="Z82" s="28"/>
      <c r="AA82" s="28"/>
      <c r="AB82" s="28"/>
      <c r="AC82" s="28"/>
      <c r="AD82" s="28"/>
      <c r="AE82" s="28"/>
      <c r="AF82" s="28"/>
      <c r="AG82" s="28"/>
      <c r="AH82" s="28"/>
      <c r="AI82" s="28"/>
      <c r="AJ82" s="28"/>
      <c r="AK82" s="28"/>
      <c r="AL82" s="28"/>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row>
    <row r="83" spans="1:114" s="38" customFormat="1" ht="15.75" customHeight="1">
      <c r="A83" s="123">
        <f t="shared" si="6"/>
        <v>63</v>
      </c>
      <c r="B83" s="101">
        <f t="shared" si="7"/>
        <v>17</v>
      </c>
      <c r="C83" s="102" t="s">
        <v>64</v>
      </c>
      <c r="D83" s="103" t="s">
        <v>65</v>
      </c>
      <c r="E83" s="102" t="s">
        <v>597</v>
      </c>
      <c r="F83" s="104">
        <f>1238489+90520</f>
        <v>1329009</v>
      </c>
      <c r="G83" s="105"/>
      <c r="H83" s="106"/>
      <c r="I83" s="115"/>
      <c r="J83" s="26"/>
      <c r="K83" s="43"/>
      <c r="L83" s="27"/>
      <c r="M83" s="27"/>
      <c r="N83" s="27"/>
      <c r="O83" s="27"/>
      <c r="P83" s="27"/>
      <c r="Q83" s="27"/>
      <c r="R83" s="27"/>
      <c r="S83" s="27"/>
      <c r="T83" s="27"/>
      <c r="U83" s="27"/>
      <c r="V83" s="28"/>
      <c r="W83" s="28"/>
      <c r="X83" s="28"/>
      <c r="Y83" s="28"/>
      <c r="Z83" s="28"/>
      <c r="AA83" s="28"/>
      <c r="AB83" s="28"/>
      <c r="AC83" s="28"/>
      <c r="AD83" s="28"/>
      <c r="AE83" s="28"/>
      <c r="AF83" s="28"/>
      <c r="AG83" s="28"/>
      <c r="AH83" s="28"/>
      <c r="AI83" s="28"/>
      <c r="AJ83" s="28"/>
      <c r="AK83" s="28"/>
      <c r="AL83" s="28"/>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row>
    <row r="84" spans="1:114" s="38" customFormat="1" ht="15.75" customHeight="1">
      <c r="A84" s="123">
        <f t="shared" si="6"/>
        <v>64</v>
      </c>
      <c r="B84" s="101">
        <f t="shared" si="7"/>
        <v>18</v>
      </c>
      <c r="C84" s="102">
        <v>34881</v>
      </c>
      <c r="D84" s="103" t="s">
        <v>871</v>
      </c>
      <c r="E84" s="102" t="s">
        <v>598</v>
      </c>
      <c r="F84" s="104">
        <v>10832874</v>
      </c>
      <c r="G84" s="105"/>
      <c r="H84" s="106"/>
      <c r="I84" s="115"/>
      <c r="J84" s="26"/>
      <c r="K84" s="43"/>
      <c r="L84" s="27"/>
      <c r="M84" s="27"/>
      <c r="N84" s="27"/>
      <c r="O84" s="27"/>
      <c r="P84" s="27"/>
      <c r="Q84" s="27"/>
      <c r="R84" s="27"/>
      <c r="S84" s="27"/>
      <c r="T84" s="27"/>
      <c r="U84" s="27"/>
      <c r="V84" s="28"/>
      <c r="W84" s="28"/>
      <c r="X84" s="28"/>
      <c r="Y84" s="28"/>
      <c r="Z84" s="28"/>
      <c r="AA84" s="28"/>
      <c r="AB84" s="28"/>
      <c r="AC84" s="28"/>
      <c r="AD84" s="28"/>
      <c r="AE84" s="28"/>
      <c r="AF84" s="28"/>
      <c r="AG84" s="28"/>
      <c r="AH84" s="28"/>
      <c r="AI84" s="28"/>
      <c r="AJ84" s="28"/>
      <c r="AK84" s="28"/>
      <c r="AL84" s="28"/>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row>
    <row r="85" spans="1:114" s="38" customFormat="1" ht="15.75" customHeight="1">
      <c r="A85" s="123">
        <f t="shared" si="6"/>
        <v>65</v>
      </c>
      <c r="B85" s="101">
        <f t="shared" si="7"/>
        <v>19</v>
      </c>
      <c r="C85" s="102" t="s">
        <v>66</v>
      </c>
      <c r="D85" s="103" t="s">
        <v>872</v>
      </c>
      <c r="E85" s="102" t="s">
        <v>670</v>
      </c>
      <c r="F85" s="104">
        <v>32149258</v>
      </c>
      <c r="G85" s="105"/>
      <c r="H85" s="106"/>
      <c r="I85" s="107"/>
      <c r="J85" s="26"/>
      <c r="K85" s="43"/>
      <c r="L85" s="27"/>
      <c r="M85" s="27"/>
      <c r="N85" s="27"/>
      <c r="O85" s="27"/>
      <c r="P85" s="27"/>
      <c r="Q85" s="27"/>
      <c r="R85" s="27"/>
      <c r="S85" s="27"/>
      <c r="T85" s="27"/>
      <c r="U85" s="27"/>
      <c r="V85" s="28"/>
      <c r="W85" s="28"/>
      <c r="X85" s="28"/>
      <c r="Y85" s="28"/>
      <c r="Z85" s="28"/>
      <c r="AA85" s="28"/>
      <c r="AB85" s="28"/>
      <c r="AC85" s="28"/>
      <c r="AD85" s="28"/>
      <c r="AE85" s="28"/>
      <c r="AF85" s="28"/>
      <c r="AG85" s="28"/>
      <c r="AH85" s="28"/>
      <c r="AI85" s="28"/>
      <c r="AJ85" s="28"/>
      <c r="AK85" s="28"/>
      <c r="AL85" s="28"/>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row>
    <row r="86" spans="1:114" s="38" customFormat="1" ht="15.75" customHeight="1">
      <c r="A86" s="125">
        <f t="shared" si="6"/>
        <v>66</v>
      </c>
      <c r="B86" s="109">
        <f t="shared" si="7"/>
        <v>20</v>
      </c>
      <c r="C86" s="110" t="s">
        <v>67</v>
      </c>
      <c r="D86" s="111" t="s">
        <v>68</v>
      </c>
      <c r="E86" s="110" t="s">
        <v>670</v>
      </c>
      <c r="F86" s="112">
        <v>4482093</v>
      </c>
      <c r="G86" s="113"/>
      <c r="H86" s="106"/>
      <c r="I86" s="107"/>
      <c r="J86" s="26"/>
      <c r="K86" s="43"/>
      <c r="L86" s="27"/>
      <c r="M86" s="27"/>
      <c r="N86" s="27"/>
      <c r="O86" s="27"/>
      <c r="P86" s="27"/>
      <c r="Q86" s="27"/>
      <c r="R86" s="27"/>
      <c r="S86" s="27"/>
      <c r="T86" s="27"/>
      <c r="U86" s="27"/>
      <c r="V86" s="28"/>
      <c r="W86" s="28"/>
      <c r="X86" s="28"/>
      <c r="Y86" s="28"/>
      <c r="Z86" s="28"/>
      <c r="AA86" s="28"/>
      <c r="AB86" s="28"/>
      <c r="AC86" s="28"/>
      <c r="AD86" s="28"/>
      <c r="AE86" s="28"/>
      <c r="AF86" s="28"/>
      <c r="AG86" s="28"/>
      <c r="AH86" s="28"/>
      <c r="AI86" s="28"/>
      <c r="AJ86" s="28"/>
      <c r="AK86" s="28"/>
      <c r="AL86" s="28"/>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row>
    <row r="87" spans="1:114" s="38" customFormat="1" ht="15.75" customHeight="1">
      <c r="A87" s="123">
        <f t="shared" si="6"/>
        <v>67</v>
      </c>
      <c r="B87" s="101">
        <f t="shared" si="7"/>
        <v>21</v>
      </c>
      <c r="C87" s="102" t="s">
        <v>69</v>
      </c>
      <c r="D87" s="103" t="s">
        <v>70</v>
      </c>
      <c r="E87" s="102" t="s">
        <v>596</v>
      </c>
      <c r="F87" s="104">
        <v>3110000</v>
      </c>
      <c r="G87" s="105"/>
      <c r="H87" s="106"/>
      <c r="I87" s="107"/>
      <c r="J87" s="26"/>
      <c r="K87" s="43"/>
      <c r="L87" s="27"/>
      <c r="M87" s="27"/>
      <c r="N87" s="27"/>
      <c r="O87" s="27"/>
      <c r="P87" s="27"/>
      <c r="Q87" s="27"/>
      <c r="R87" s="27"/>
      <c r="S87" s="27"/>
      <c r="T87" s="27"/>
      <c r="U87" s="27"/>
      <c r="V87" s="28"/>
      <c r="W87" s="28"/>
      <c r="X87" s="28"/>
      <c r="Y87" s="28"/>
      <c r="Z87" s="28"/>
      <c r="AA87" s="28"/>
      <c r="AB87" s="28"/>
      <c r="AC87" s="28"/>
      <c r="AD87" s="28"/>
      <c r="AE87" s="28"/>
      <c r="AF87" s="28"/>
      <c r="AG87" s="28"/>
      <c r="AH87" s="28"/>
      <c r="AI87" s="28"/>
      <c r="AJ87" s="28"/>
      <c r="AK87" s="28"/>
      <c r="AL87" s="28"/>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row>
    <row r="88" spans="1:114" s="38" customFormat="1" ht="15.75" customHeight="1">
      <c r="A88" s="123">
        <f t="shared" si="6"/>
        <v>68</v>
      </c>
      <c r="B88" s="101">
        <f t="shared" si="7"/>
        <v>22</v>
      </c>
      <c r="C88" s="102" t="s">
        <v>71</v>
      </c>
      <c r="D88" s="103" t="s">
        <v>72</v>
      </c>
      <c r="E88" s="102" t="s">
        <v>595</v>
      </c>
      <c r="F88" s="104">
        <v>5637000</v>
      </c>
      <c r="G88" s="105"/>
      <c r="H88" s="106"/>
      <c r="I88" s="107"/>
      <c r="J88" s="26"/>
      <c r="K88" s="43"/>
      <c r="L88" s="27"/>
      <c r="M88" s="27"/>
      <c r="N88" s="27"/>
      <c r="O88" s="27"/>
      <c r="P88" s="27"/>
      <c r="Q88" s="27"/>
      <c r="R88" s="27"/>
      <c r="S88" s="27"/>
      <c r="T88" s="27"/>
      <c r="U88" s="27"/>
      <c r="V88" s="28"/>
      <c r="W88" s="28"/>
      <c r="X88" s="28"/>
      <c r="Y88" s="28"/>
      <c r="Z88" s="28"/>
      <c r="AA88" s="28"/>
      <c r="AB88" s="28"/>
      <c r="AC88" s="28"/>
      <c r="AD88" s="28"/>
      <c r="AE88" s="28"/>
      <c r="AF88" s="28"/>
      <c r="AG88" s="28"/>
      <c r="AH88" s="28"/>
      <c r="AI88" s="28"/>
      <c r="AJ88" s="28"/>
      <c r="AK88" s="28"/>
      <c r="AL88" s="28"/>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row>
    <row r="89" spans="1:114" s="38" customFormat="1" ht="15.75" customHeight="1">
      <c r="A89" s="123">
        <f t="shared" si="6"/>
        <v>69</v>
      </c>
      <c r="B89" s="101">
        <f t="shared" si="7"/>
        <v>23</v>
      </c>
      <c r="C89" s="102" t="s">
        <v>73</v>
      </c>
      <c r="D89" s="103" t="s">
        <v>74</v>
      </c>
      <c r="E89" s="102" t="s">
        <v>596</v>
      </c>
      <c r="F89" s="104">
        <f>20140+10000+15822+250138.2+1250412</f>
        <v>1546512.2</v>
      </c>
      <c r="G89" s="105"/>
      <c r="H89" s="106"/>
      <c r="I89" s="107"/>
      <c r="J89" s="26"/>
      <c r="K89" s="43"/>
      <c r="L89" s="27"/>
      <c r="M89" s="27"/>
      <c r="N89" s="27"/>
      <c r="O89" s="27"/>
      <c r="P89" s="27"/>
      <c r="Q89" s="27"/>
      <c r="R89" s="27"/>
      <c r="S89" s="27"/>
      <c r="T89" s="27"/>
      <c r="U89" s="27"/>
      <c r="V89" s="28"/>
      <c r="W89" s="28"/>
      <c r="X89" s="28"/>
      <c r="Y89" s="28"/>
      <c r="Z89" s="28"/>
      <c r="AA89" s="28"/>
      <c r="AB89" s="28"/>
      <c r="AC89" s="28"/>
      <c r="AD89" s="28"/>
      <c r="AE89" s="28"/>
      <c r="AF89" s="28"/>
      <c r="AG89" s="28"/>
      <c r="AH89" s="28"/>
      <c r="AI89" s="28"/>
      <c r="AJ89" s="28"/>
      <c r="AK89" s="28"/>
      <c r="AL89" s="28"/>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row>
    <row r="90" spans="1:114" s="38" customFormat="1" ht="15.75" customHeight="1">
      <c r="A90" s="123">
        <f t="shared" si="6"/>
        <v>70</v>
      </c>
      <c r="B90" s="101">
        <f t="shared" si="7"/>
        <v>24</v>
      </c>
      <c r="C90" s="102" t="s">
        <v>75</v>
      </c>
      <c r="D90" s="103" t="s">
        <v>873</v>
      </c>
      <c r="E90" s="102" t="s">
        <v>598</v>
      </c>
      <c r="F90" s="104">
        <v>524452309</v>
      </c>
      <c r="G90" s="105"/>
      <c r="H90" s="106">
        <v>42000000</v>
      </c>
      <c r="I90" s="107" t="s">
        <v>696</v>
      </c>
      <c r="J90" s="26"/>
      <c r="K90" s="43"/>
      <c r="L90" s="27"/>
      <c r="M90" s="27"/>
      <c r="N90" s="27"/>
      <c r="O90" s="27"/>
      <c r="P90" s="27"/>
      <c r="Q90" s="27"/>
      <c r="R90" s="27"/>
      <c r="S90" s="27"/>
      <c r="T90" s="27"/>
      <c r="U90" s="27"/>
      <c r="V90" s="28"/>
      <c r="W90" s="28"/>
      <c r="X90" s="28"/>
      <c r="Y90" s="28"/>
      <c r="Z90" s="28"/>
      <c r="AA90" s="28"/>
      <c r="AB90" s="28"/>
      <c r="AC90" s="28"/>
      <c r="AD90" s="28"/>
      <c r="AE90" s="28"/>
      <c r="AF90" s="28"/>
      <c r="AG90" s="28"/>
      <c r="AH90" s="28"/>
      <c r="AI90" s="28"/>
      <c r="AJ90" s="28"/>
      <c r="AK90" s="28"/>
      <c r="AL90" s="28"/>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row>
    <row r="91" spans="1:114" s="38" customFormat="1" ht="15.75" customHeight="1">
      <c r="A91" s="123">
        <f t="shared" si="6"/>
        <v>71</v>
      </c>
      <c r="B91" s="101">
        <f t="shared" si="7"/>
        <v>25</v>
      </c>
      <c r="C91" s="102" t="s">
        <v>76</v>
      </c>
      <c r="D91" s="103" t="s">
        <v>77</v>
      </c>
      <c r="E91" s="102" t="s">
        <v>599</v>
      </c>
      <c r="F91" s="104">
        <f>70000+176200</f>
        <v>246200</v>
      </c>
      <c r="G91" s="105"/>
      <c r="H91" s="106"/>
      <c r="I91" s="107"/>
      <c r="J91" s="26"/>
      <c r="K91" s="43"/>
      <c r="L91" s="27"/>
      <c r="M91" s="27"/>
      <c r="N91" s="27"/>
      <c r="O91" s="27"/>
      <c r="P91" s="27"/>
      <c r="Q91" s="27"/>
      <c r="R91" s="27"/>
      <c r="S91" s="27"/>
      <c r="T91" s="27"/>
      <c r="U91" s="27"/>
      <c r="V91" s="28"/>
      <c r="W91" s="28"/>
      <c r="X91" s="28"/>
      <c r="Y91" s="28"/>
      <c r="Z91" s="28"/>
      <c r="AA91" s="28"/>
      <c r="AB91" s="28"/>
      <c r="AC91" s="28"/>
      <c r="AD91" s="28"/>
      <c r="AE91" s="28"/>
      <c r="AF91" s="28"/>
      <c r="AG91" s="28"/>
      <c r="AH91" s="28"/>
      <c r="AI91" s="28"/>
      <c r="AJ91" s="28"/>
      <c r="AK91" s="28"/>
      <c r="AL91" s="28"/>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row>
    <row r="92" spans="1:114" s="38" customFormat="1" ht="15.75" customHeight="1">
      <c r="A92" s="123">
        <f t="shared" si="6"/>
        <v>72</v>
      </c>
      <c r="B92" s="101">
        <f t="shared" si="7"/>
        <v>26</v>
      </c>
      <c r="C92" s="102" t="s">
        <v>78</v>
      </c>
      <c r="D92" s="103" t="s">
        <v>874</v>
      </c>
      <c r="E92" s="102" t="s">
        <v>596</v>
      </c>
      <c r="F92" s="104">
        <v>33321000</v>
      </c>
      <c r="G92" s="105"/>
      <c r="H92" s="106">
        <v>5000000</v>
      </c>
      <c r="I92" s="107" t="s">
        <v>79</v>
      </c>
      <c r="J92" s="26"/>
      <c r="K92" s="43"/>
      <c r="L92" s="27"/>
      <c r="M92" s="27"/>
      <c r="N92" s="27"/>
      <c r="O92" s="27"/>
      <c r="P92" s="27"/>
      <c r="Q92" s="27"/>
      <c r="R92" s="27"/>
      <c r="S92" s="27"/>
      <c r="T92" s="27"/>
      <c r="U92" s="27"/>
      <c r="V92" s="28"/>
      <c r="W92" s="28"/>
      <c r="X92" s="28"/>
      <c r="Y92" s="28"/>
      <c r="Z92" s="28"/>
      <c r="AA92" s="28"/>
      <c r="AB92" s="28"/>
      <c r="AC92" s="28"/>
      <c r="AD92" s="28"/>
      <c r="AE92" s="28"/>
      <c r="AF92" s="28"/>
      <c r="AG92" s="28"/>
      <c r="AH92" s="28"/>
      <c r="AI92" s="28"/>
      <c r="AJ92" s="28"/>
      <c r="AK92" s="28"/>
      <c r="AL92" s="28"/>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row>
    <row r="93" spans="1:114" s="38" customFormat="1" ht="15.75" customHeight="1">
      <c r="A93" s="123">
        <f t="shared" si="6"/>
        <v>73</v>
      </c>
      <c r="B93" s="101">
        <f t="shared" si="7"/>
        <v>27</v>
      </c>
      <c r="C93" s="102" t="s">
        <v>80</v>
      </c>
      <c r="D93" s="103" t="s">
        <v>875</v>
      </c>
      <c r="E93" s="102" t="s">
        <v>595</v>
      </c>
      <c r="F93" s="104">
        <v>381000</v>
      </c>
      <c r="G93" s="105"/>
      <c r="H93" s="106"/>
      <c r="I93" s="115"/>
      <c r="J93" s="26"/>
      <c r="K93" s="43"/>
      <c r="L93" s="27"/>
      <c r="M93" s="27"/>
      <c r="N93" s="27"/>
      <c r="O93" s="27"/>
      <c r="P93" s="27"/>
      <c r="Q93" s="27"/>
      <c r="R93" s="27"/>
      <c r="S93" s="27"/>
      <c r="T93" s="27"/>
      <c r="U93" s="27"/>
      <c r="V93" s="28"/>
      <c r="W93" s="28"/>
      <c r="X93" s="28"/>
      <c r="Y93" s="28"/>
      <c r="Z93" s="28"/>
      <c r="AA93" s="28"/>
      <c r="AB93" s="28"/>
      <c r="AC93" s="28"/>
      <c r="AD93" s="28"/>
      <c r="AE93" s="28"/>
      <c r="AF93" s="28"/>
      <c r="AG93" s="28"/>
      <c r="AH93" s="28"/>
      <c r="AI93" s="28"/>
      <c r="AJ93" s="28"/>
      <c r="AK93" s="28"/>
      <c r="AL93" s="28"/>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row>
    <row r="94" spans="1:114" s="38" customFormat="1" ht="15.75" customHeight="1">
      <c r="A94" s="123">
        <f t="shared" si="6"/>
        <v>74</v>
      </c>
      <c r="B94" s="101">
        <f t="shared" si="7"/>
        <v>28</v>
      </c>
      <c r="C94" s="102" t="s">
        <v>81</v>
      </c>
      <c r="D94" s="103" t="s">
        <v>85</v>
      </c>
      <c r="E94" s="102" t="s">
        <v>595</v>
      </c>
      <c r="F94" s="104">
        <v>1211000</v>
      </c>
      <c r="G94" s="105"/>
      <c r="H94" s="106"/>
      <c r="I94" s="107"/>
      <c r="J94" s="26"/>
      <c r="K94" s="43"/>
      <c r="L94" s="27"/>
      <c r="M94" s="27"/>
      <c r="N94" s="27"/>
      <c r="O94" s="27"/>
      <c r="P94" s="27"/>
      <c r="Q94" s="27"/>
      <c r="R94" s="27"/>
      <c r="S94" s="27"/>
      <c r="T94" s="27"/>
      <c r="U94" s="27"/>
      <c r="V94" s="28"/>
      <c r="W94" s="28"/>
      <c r="X94" s="28"/>
      <c r="Y94" s="28"/>
      <c r="Z94" s="28"/>
      <c r="AA94" s="28"/>
      <c r="AB94" s="28"/>
      <c r="AC94" s="28"/>
      <c r="AD94" s="28"/>
      <c r="AE94" s="28"/>
      <c r="AF94" s="28"/>
      <c r="AG94" s="28"/>
      <c r="AH94" s="28"/>
      <c r="AI94" s="28"/>
      <c r="AJ94" s="28"/>
      <c r="AK94" s="28"/>
      <c r="AL94" s="28"/>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row>
    <row r="95" spans="1:114" s="38" customFormat="1" ht="15.75" customHeight="1">
      <c r="A95" s="123">
        <f t="shared" si="6"/>
        <v>75</v>
      </c>
      <c r="B95" s="101">
        <f t="shared" si="7"/>
        <v>29</v>
      </c>
      <c r="C95" s="124" t="s">
        <v>86</v>
      </c>
      <c r="D95" s="103" t="s">
        <v>876</v>
      </c>
      <c r="E95" s="102" t="s">
        <v>595</v>
      </c>
      <c r="F95" s="104">
        <v>325550</v>
      </c>
      <c r="G95" s="105"/>
      <c r="H95" s="106"/>
      <c r="I95" s="107"/>
      <c r="J95" s="26"/>
      <c r="K95" s="43"/>
      <c r="L95" s="27"/>
      <c r="M95" s="27"/>
      <c r="N95" s="27"/>
      <c r="O95" s="27"/>
      <c r="P95" s="27"/>
      <c r="Q95" s="27"/>
      <c r="R95" s="27"/>
      <c r="S95" s="27"/>
      <c r="T95" s="27"/>
      <c r="U95" s="27"/>
      <c r="V95" s="28"/>
      <c r="W95" s="28"/>
      <c r="X95" s="28"/>
      <c r="Y95" s="28"/>
      <c r="Z95" s="28"/>
      <c r="AA95" s="28"/>
      <c r="AB95" s="28"/>
      <c r="AC95" s="28"/>
      <c r="AD95" s="28"/>
      <c r="AE95" s="28"/>
      <c r="AF95" s="28"/>
      <c r="AG95" s="28"/>
      <c r="AH95" s="28"/>
      <c r="AI95" s="28"/>
      <c r="AJ95" s="28"/>
      <c r="AK95" s="28"/>
      <c r="AL95" s="28"/>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row>
    <row r="96" spans="1:114" s="38" customFormat="1" ht="15.75" customHeight="1">
      <c r="A96" s="126">
        <f t="shared" si="6"/>
        <v>76</v>
      </c>
      <c r="B96" s="127">
        <f t="shared" si="7"/>
        <v>30</v>
      </c>
      <c r="C96" s="128" t="s">
        <v>87</v>
      </c>
      <c r="D96" s="129" t="s">
        <v>877</v>
      </c>
      <c r="E96" s="128" t="s">
        <v>598</v>
      </c>
      <c r="F96" s="130">
        <v>10355193</v>
      </c>
      <c r="G96" s="131"/>
      <c r="H96" s="132"/>
      <c r="I96" s="133"/>
      <c r="J96" s="26"/>
      <c r="K96" s="43"/>
      <c r="L96" s="27"/>
      <c r="M96" s="27"/>
      <c r="N96" s="27"/>
      <c r="O96" s="27"/>
      <c r="P96" s="27"/>
      <c r="Q96" s="27"/>
      <c r="R96" s="27"/>
      <c r="S96" s="27"/>
      <c r="T96" s="27"/>
      <c r="U96" s="27"/>
      <c r="V96" s="28"/>
      <c r="W96" s="28"/>
      <c r="X96" s="28"/>
      <c r="Y96" s="28"/>
      <c r="Z96" s="28"/>
      <c r="AA96" s="28"/>
      <c r="AB96" s="28"/>
      <c r="AC96" s="28"/>
      <c r="AD96" s="28"/>
      <c r="AE96" s="28"/>
      <c r="AF96" s="28"/>
      <c r="AG96" s="28"/>
      <c r="AH96" s="28"/>
      <c r="AI96" s="28"/>
      <c r="AJ96" s="28"/>
      <c r="AK96" s="28"/>
      <c r="AL96" s="28"/>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row>
    <row r="97" spans="1:114" s="30" customFormat="1" ht="15.75" customHeight="1">
      <c r="A97" s="282" t="s">
        <v>88</v>
      </c>
      <c r="B97" s="283"/>
      <c r="C97" s="283"/>
      <c r="D97" s="283"/>
      <c r="E97" s="22"/>
      <c r="F97" s="23">
        <f>SUM(F67:F96)</f>
        <v>1089010528.8557143</v>
      </c>
      <c r="G97" s="23"/>
      <c r="H97" s="24">
        <f>SUM(H67:H96)</f>
        <v>63272346</v>
      </c>
      <c r="I97" s="25"/>
      <c r="J97" s="26"/>
      <c r="K97" s="27"/>
      <c r="L97" s="27"/>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row>
    <row r="98" spans="1:114" s="38" customFormat="1" ht="15.75" customHeight="1">
      <c r="A98" s="291">
        <v>1996</v>
      </c>
      <c r="B98" s="292"/>
      <c r="C98" s="292"/>
      <c r="D98" s="292"/>
      <c r="E98" s="292"/>
      <c r="F98" s="292"/>
      <c r="G98" s="292"/>
      <c r="H98" s="292"/>
      <c r="I98" s="293"/>
      <c r="J98" s="26"/>
      <c r="K98" s="43"/>
      <c r="L98" s="27"/>
      <c r="M98" s="27"/>
      <c r="N98" s="27"/>
      <c r="O98" s="27"/>
      <c r="P98" s="27"/>
      <c r="Q98" s="27"/>
      <c r="R98" s="27"/>
      <c r="S98" s="27"/>
      <c r="T98" s="27"/>
      <c r="U98" s="27"/>
      <c r="V98" s="28"/>
      <c r="W98" s="28"/>
      <c r="X98" s="28"/>
      <c r="Y98" s="28"/>
      <c r="Z98" s="28"/>
      <c r="AA98" s="28"/>
      <c r="AB98" s="28"/>
      <c r="AC98" s="28"/>
      <c r="AD98" s="28"/>
      <c r="AE98" s="28"/>
      <c r="AF98" s="28"/>
      <c r="AG98" s="28"/>
      <c r="AH98" s="28"/>
      <c r="AI98" s="28"/>
      <c r="AJ98" s="28"/>
      <c r="AK98" s="28"/>
      <c r="AL98" s="28"/>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row>
    <row r="99" spans="1:114" s="38" customFormat="1" ht="15.75" customHeight="1">
      <c r="A99" s="75">
        <f>A96+1</f>
        <v>77</v>
      </c>
      <c r="B99" s="76">
        <v>1</v>
      </c>
      <c r="C99" s="77" t="s">
        <v>89</v>
      </c>
      <c r="D99" s="78" t="s">
        <v>91</v>
      </c>
      <c r="E99" s="77" t="s">
        <v>597</v>
      </c>
      <c r="F99" s="98">
        <v>211500</v>
      </c>
      <c r="G99" s="99"/>
      <c r="H99" s="79"/>
      <c r="I99" s="81"/>
      <c r="J99" s="26"/>
      <c r="K99" s="43"/>
      <c r="L99" s="27"/>
      <c r="M99" s="27"/>
      <c r="N99" s="27"/>
      <c r="O99" s="27"/>
      <c r="P99" s="27"/>
      <c r="Q99" s="27"/>
      <c r="R99" s="27"/>
      <c r="S99" s="27"/>
      <c r="T99" s="27"/>
      <c r="U99" s="27"/>
      <c r="V99" s="28"/>
      <c r="W99" s="28"/>
      <c r="X99" s="28"/>
      <c r="Y99" s="28"/>
      <c r="Z99" s="28"/>
      <c r="AA99" s="28"/>
      <c r="AB99" s="28"/>
      <c r="AC99" s="28"/>
      <c r="AD99" s="28"/>
      <c r="AE99" s="28"/>
      <c r="AF99" s="28"/>
      <c r="AG99" s="28"/>
      <c r="AH99" s="28"/>
      <c r="AI99" s="28"/>
      <c r="AJ99" s="28"/>
      <c r="AK99" s="28"/>
      <c r="AL99" s="28"/>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row>
    <row r="100" spans="1:114" s="38" customFormat="1" ht="15.75" customHeight="1">
      <c r="A100" s="123">
        <f aca="true" t="shared" si="8" ref="A100:A135">A99+1</f>
        <v>78</v>
      </c>
      <c r="B100" s="101">
        <f aca="true" t="shared" si="9" ref="B100:B135">B99+1</f>
        <v>2</v>
      </c>
      <c r="C100" s="102" t="s">
        <v>92</v>
      </c>
      <c r="D100" s="103" t="s">
        <v>878</v>
      </c>
      <c r="E100" s="102" t="s">
        <v>596</v>
      </c>
      <c r="F100" s="104">
        <f>20168515+140921864+25079939</f>
        <v>186170318</v>
      </c>
      <c r="G100" s="105"/>
      <c r="H100" s="106">
        <v>30000000</v>
      </c>
      <c r="I100" s="107" t="s">
        <v>696</v>
      </c>
      <c r="J100" s="26"/>
      <c r="K100" s="43"/>
      <c r="L100" s="27"/>
      <c r="M100" s="27"/>
      <c r="N100" s="27"/>
      <c r="O100" s="27"/>
      <c r="P100" s="27"/>
      <c r="Q100" s="27"/>
      <c r="R100" s="27"/>
      <c r="S100" s="27"/>
      <c r="T100" s="27"/>
      <c r="U100" s="27"/>
      <c r="V100" s="28"/>
      <c r="W100" s="28"/>
      <c r="X100" s="28"/>
      <c r="Y100" s="28"/>
      <c r="Z100" s="28"/>
      <c r="AA100" s="28"/>
      <c r="AB100" s="28"/>
      <c r="AC100" s="28"/>
      <c r="AD100" s="28"/>
      <c r="AE100" s="28"/>
      <c r="AF100" s="28"/>
      <c r="AG100" s="28"/>
      <c r="AH100" s="28"/>
      <c r="AI100" s="28"/>
      <c r="AJ100" s="28"/>
      <c r="AK100" s="28"/>
      <c r="AL100" s="28"/>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row>
    <row r="101" spans="1:114" s="38" customFormat="1" ht="15.75" customHeight="1">
      <c r="A101" s="123">
        <f t="shared" si="8"/>
        <v>79</v>
      </c>
      <c r="B101" s="101">
        <f t="shared" si="9"/>
        <v>3</v>
      </c>
      <c r="C101" s="102">
        <v>35125</v>
      </c>
      <c r="D101" s="103" t="s">
        <v>879</v>
      </c>
      <c r="E101" s="102" t="s">
        <v>596</v>
      </c>
      <c r="F101" s="104">
        <f>1010413+1615881</f>
        <v>2626294</v>
      </c>
      <c r="G101" s="105"/>
      <c r="H101" s="106"/>
      <c r="I101" s="107"/>
      <c r="J101" s="26"/>
      <c r="K101" s="43"/>
      <c r="L101" s="27"/>
      <c r="M101" s="27"/>
      <c r="N101" s="27"/>
      <c r="O101" s="27"/>
      <c r="P101" s="27"/>
      <c r="Q101" s="27"/>
      <c r="R101" s="27"/>
      <c r="S101" s="27"/>
      <c r="T101" s="27"/>
      <c r="U101" s="27"/>
      <c r="V101" s="28"/>
      <c r="W101" s="28"/>
      <c r="X101" s="28"/>
      <c r="Y101" s="28"/>
      <c r="Z101" s="28"/>
      <c r="AA101" s="28"/>
      <c r="AB101" s="28"/>
      <c r="AC101" s="28"/>
      <c r="AD101" s="28"/>
      <c r="AE101" s="28"/>
      <c r="AF101" s="28"/>
      <c r="AG101" s="28"/>
      <c r="AH101" s="28"/>
      <c r="AI101" s="28"/>
      <c r="AJ101" s="28"/>
      <c r="AK101" s="28"/>
      <c r="AL101" s="28"/>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row>
    <row r="102" spans="1:114" s="38" customFormat="1" ht="15.75" customHeight="1">
      <c r="A102" s="123">
        <f t="shared" si="8"/>
        <v>80</v>
      </c>
      <c r="B102" s="101">
        <f t="shared" si="9"/>
        <v>4</v>
      </c>
      <c r="C102" s="102" t="s">
        <v>93</v>
      </c>
      <c r="D102" s="103" t="s">
        <v>880</v>
      </c>
      <c r="E102" s="102" t="s">
        <v>595</v>
      </c>
      <c r="F102" s="104">
        <v>930000</v>
      </c>
      <c r="G102" s="105"/>
      <c r="H102" s="106"/>
      <c r="I102" s="115"/>
      <c r="J102" s="26"/>
      <c r="K102" s="43"/>
      <c r="L102" s="27"/>
      <c r="M102" s="27"/>
      <c r="N102" s="27"/>
      <c r="O102" s="27"/>
      <c r="P102" s="27"/>
      <c r="Q102" s="27"/>
      <c r="R102" s="27"/>
      <c r="S102" s="27"/>
      <c r="T102" s="27"/>
      <c r="U102" s="27"/>
      <c r="V102" s="28"/>
      <c r="W102" s="28"/>
      <c r="X102" s="28"/>
      <c r="Y102" s="28"/>
      <c r="Z102" s="28"/>
      <c r="AA102" s="28"/>
      <c r="AB102" s="28"/>
      <c r="AC102" s="28"/>
      <c r="AD102" s="28"/>
      <c r="AE102" s="28"/>
      <c r="AF102" s="28"/>
      <c r="AG102" s="28"/>
      <c r="AH102" s="28"/>
      <c r="AI102" s="28"/>
      <c r="AJ102" s="28"/>
      <c r="AK102" s="28"/>
      <c r="AL102" s="28"/>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row>
    <row r="103" spans="1:114" s="38" customFormat="1" ht="15.75" customHeight="1">
      <c r="A103" s="123">
        <f t="shared" si="8"/>
        <v>81</v>
      </c>
      <c r="B103" s="101">
        <f t="shared" si="9"/>
        <v>5</v>
      </c>
      <c r="C103" s="102">
        <v>35156</v>
      </c>
      <c r="D103" s="103" t="s">
        <v>94</v>
      </c>
      <c r="E103" s="102" t="s">
        <v>598</v>
      </c>
      <c r="F103" s="104">
        <f>287208.93/2.35</f>
        <v>122216.5659574468</v>
      </c>
      <c r="G103" s="105"/>
      <c r="H103" s="106"/>
      <c r="I103" s="107"/>
      <c r="J103" s="26"/>
      <c r="K103" s="43"/>
      <c r="L103" s="27"/>
      <c r="M103" s="27"/>
      <c r="N103" s="27"/>
      <c r="O103" s="27"/>
      <c r="P103" s="27"/>
      <c r="Q103" s="27"/>
      <c r="R103" s="27"/>
      <c r="S103" s="27"/>
      <c r="T103" s="27"/>
      <c r="U103" s="27"/>
      <c r="V103" s="28"/>
      <c r="W103" s="28"/>
      <c r="X103" s="28"/>
      <c r="Y103" s="28"/>
      <c r="Z103" s="28"/>
      <c r="AA103" s="28"/>
      <c r="AB103" s="28"/>
      <c r="AC103" s="28"/>
      <c r="AD103" s="28"/>
      <c r="AE103" s="28"/>
      <c r="AF103" s="28"/>
      <c r="AG103" s="28"/>
      <c r="AH103" s="28"/>
      <c r="AI103" s="28"/>
      <c r="AJ103" s="28"/>
      <c r="AK103" s="28"/>
      <c r="AL103" s="28"/>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row>
    <row r="104" spans="1:114" s="38" customFormat="1" ht="15.75" customHeight="1">
      <c r="A104" s="123">
        <f t="shared" si="8"/>
        <v>82</v>
      </c>
      <c r="B104" s="101">
        <f t="shared" si="9"/>
        <v>6</v>
      </c>
      <c r="C104" s="124" t="s">
        <v>95</v>
      </c>
      <c r="D104" s="103" t="s">
        <v>96</v>
      </c>
      <c r="E104" s="102" t="s">
        <v>596</v>
      </c>
      <c r="F104" s="104">
        <v>16130000</v>
      </c>
      <c r="G104" s="105"/>
      <c r="H104" s="106"/>
      <c r="I104" s="107"/>
      <c r="J104" s="26"/>
      <c r="K104" s="43"/>
      <c r="L104" s="27"/>
      <c r="M104" s="27"/>
      <c r="N104" s="27"/>
      <c r="O104" s="27"/>
      <c r="P104" s="27"/>
      <c r="Q104" s="27"/>
      <c r="R104" s="27"/>
      <c r="S104" s="27"/>
      <c r="T104" s="27"/>
      <c r="U104" s="27"/>
      <c r="V104" s="28"/>
      <c r="W104" s="28"/>
      <c r="X104" s="28"/>
      <c r="Y104" s="28"/>
      <c r="Z104" s="28"/>
      <c r="AA104" s="28"/>
      <c r="AB104" s="28"/>
      <c r="AC104" s="28"/>
      <c r="AD104" s="28"/>
      <c r="AE104" s="28"/>
      <c r="AF104" s="28"/>
      <c r="AG104" s="28"/>
      <c r="AH104" s="28"/>
      <c r="AI104" s="28"/>
      <c r="AJ104" s="28"/>
      <c r="AK104" s="28"/>
      <c r="AL104" s="28"/>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row>
    <row r="105" spans="1:114" s="38" customFormat="1" ht="15.75" customHeight="1">
      <c r="A105" s="123">
        <f t="shared" si="8"/>
        <v>83</v>
      </c>
      <c r="B105" s="101">
        <f t="shared" si="9"/>
        <v>7</v>
      </c>
      <c r="C105" s="102" t="s">
        <v>97</v>
      </c>
      <c r="D105" s="103" t="s">
        <v>98</v>
      </c>
      <c r="E105" s="102" t="s">
        <v>595</v>
      </c>
      <c r="F105" s="104">
        <v>134000</v>
      </c>
      <c r="G105" s="105"/>
      <c r="H105" s="106"/>
      <c r="I105" s="115"/>
      <c r="J105" s="26"/>
      <c r="K105" s="43"/>
      <c r="L105" s="27"/>
      <c r="M105" s="27"/>
      <c r="N105" s="27"/>
      <c r="O105" s="27"/>
      <c r="P105" s="27"/>
      <c r="Q105" s="27"/>
      <c r="R105" s="27"/>
      <c r="S105" s="27"/>
      <c r="T105" s="27"/>
      <c r="U105" s="27"/>
      <c r="V105" s="28"/>
      <c r="W105" s="28"/>
      <c r="X105" s="28"/>
      <c r="Y105" s="28"/>
      <c r="Z105" s="28"/>
      <c r="AA105" s="28"/>
      <c r="AB105" s="28"/>
      <c r="AC105" s="28"/>
      <c r="AD105" s="28"/>
      <c r="AE105" s="28"/>
      <c r="AF105" s="28"/>
      <c r="AG105" s="28"/>
      <c r="AH105" s="28"/>
      <c r="AI105" s="28"/>
      <c r="AJ105" s="28"/>
      <c r="AK105" s="28"/>
      <c r="AL105" s="28"/>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row>
    <row r="106" spans="1:114" s="30" customFormat="1" ht="15.75" customHeight="1">
      <c r="A106" s="123">
        <f t="shared" si="8"/>
        <v>84</v>
      </c>
      <c r="B106" s="101">
        <f t="shared" si="9"/>
        <v>8</v>
      </c>
      <c r="C106" s="102" t="s">
        <v>99</v>
      </c>
      <c r="D106" s="103" t="s">
        <v>881</v>
      </c>
      <c r="E106" s="102" t="s">
        <v>594</v>
      </c>
      <c r="F106" s="104">
        <v>180500000</v>
      </c>
      <c r="G106" s="105"/>
      <c r="H106" s="106">
        <v>50000000</v>
      </c>
      <c r="I106" s="107" t="s">
        <v>696</v>
      </c>
      <c r="J106" s="26"/>
      <c r="K106" s="43"/>
      <c r="L106" s="27"/>
      <c r="M106" s="27"/>
      <c r="N106" s="27"/>
      <c r="O106" s="27"/>
      <c r="P106" s="27"/>
      <c r="Q106" s="27"/>
      <c r="R106" s="27"/>
      <c r="S106" s="27"/>
      <c r="T106" s="27"/>
      <c r="U106" s="27"/>
      <c r="V106" s="28"/>
      <c r="W106" s="28"/>
      <c r="X106" s="28"/>
      <c r="Y106" s="28"/>
      <c r="Z106" s="28"/>
      <c r="AA106" s="28"/>
      <c r="AB106" s="28"/>
      <c r="AC106" s="28"/>
      <c r="AD106" s="28"/>
      <c r="AE106" s="28"/>
      <c r="AF106" s="28"/>
      <c r="AG106" s="28"/>
      <c r="AH106" s="28"/>
      <c r="AI106" s="28"/>
      <c r="AJ106" s="28"/>
      <c r="AK106" s="28"/>
      <c r="AL106" s="28"/>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row>
    <row r="107" spans="1:114" s="30" customFormat="1" ht="15.75" customHeight="1">
      <c r="A107" s="123">
        <f t="shared" si="8"/>
        <v>85</v>
      </c>
      <c r="B107" s="101">
        <f t="shared" si="9"/>
        <v>9</v>
      </c>
      <c r="C107" s="102" t="s">
        <v>99</v>
      </c>
      <c r="D107" s="103" t="s">
        <v>100</v>
      </c>
      <c r="E107" s="102" t="s">
        <v>595</v>
      </c>
      <c r="F107" s="104">
        <v>178000</v>
      </c>
      <c r="G107" s="105"/>
      <c r="H107" s="106"/>
      <c r="I107" s="107"/>
      <c r="J107" s="26"/>
      <c r="K107" s="43"/>
      <c r="L107" s="27"/>
      <c r="M107" s="27"/>
      <c r="N107" s="27"/>
      <c r="O107" s="27"/>
      <c r="P107" s="27"/>
      <c r="Q107" s="27"/>
      <c r="R107" s="27"/>
      <c r="S107" s="27"/>
      <c r="T107" s="27"/>
      <c r="U107" s="27"/>
      <c r="V107" s="28"/>
      <c r="W107" s="28"/>
      <c r="X107" s="28"/>
      <c r="Y107" s="28"/>
      <c r="Z107" s="28"/>
      <c r="AA107" s="28"/>
      <c r="AB107" s="28"/>
      <c r="AC107" s="28"/>
      <c r="AD107" s="28"/>
      <c r="AE107" s="28"/>
      <c r="AF107" s="28"/>
      <c r="AG107" s="28"/>
      <c r="AH107" s="28"/>
      <c r="AI107" s="28"/>
      <c r="AJ107" s="28"/>
      <c r="AK107" s="28"/>
      <c r="AL107" s="28"/>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row>
    <row r="108" spans="1:114" s="38" customFormat="1" ht="26.25" customHeight="1">
      <c r="A108" s="123">
        <f t="shared" si="8"/>
        <v>86</v>
      </c>
      <c r="B108" s="101">
        <f t="shared" si="9"/>
        <v>10</v>
      </c>
      <c r="C108" s="102" t="s">
        <v>99</v>
      </c>
      <c r="D108" s="103" t="s">
        <v>882</v>
      </c>
      <c r="E108" s="102" t="s">
        <v>594</v>
      </c>
      <c r="F108" s="104">
        <v>142200000</v>
      </c>
      <c r="G108" s="105"/>
      <c r="H108" s="106">
        <v>25000000</v>
      </c>
      <c r="I108" s="107" t="s">
        <v>696</v>
      </c>
      <c r="J108" s="26"/>
      <c r="K108" s="43"/>
      <c r="L108" s="27"/>
      <c r="M108" s="27"/>
      <c r="N108" s="27"/>
      <c r="O108" s="27"/>
      <c r="P108" s="27"/>
      <c r="Q108" s="27"/>
      <c r="R108" s="27"/>
      <c r="S108" s="27"/>
      <c r="T108" s="27"/>
      <c r="U108" s="27"/>
      <c r="V108" s="28"/>
      <c r="W108" s="28"/>
      <c r="X108" s="28"/>
      <c r="Y108" s="28"/>
      <c r="Z108" s="28"/>
      <c r="AA108" s="28"/>
      <c r="AB108" s="28"/>
      <c r="AC108" s="28"/>
      <c r="AD108" s="28"/>
      <c r="AE108" s="28"/>
      <c r="AF108" s="28"/>
      <c r="AG108" s="28"/>
      <c r="AH108" s="28"/>
      <c r="AI108" s="28"/>
      <c r="AJ108" s="28"/>
      <c r="AK108" s="28"/>
      <c r="AL108" s="28"/>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row>
    <row r="109" spans="1:114" s="30" customFormat="1" ht="15.75" customHeight="1">
      <c r="A109" s="123">
        <f t="shared" si="8"/>
        <v>87</v>
      </c>
      <c r="B109" s="101">
        <f t="shared" si="9"/>
        <v>11</v>
      </c>
      <c r="C109" s="102" t="s">
        <v>101</v>
      </c>
      <c r="D109" s="103" t="s">
        <v>102</v>
      </c>
      <c r="E109" s="102" t="s">
        <v>595</v>
      </c>
      <c r="F109" s="104">
        <f>+(6646.86+15658.44+48137.6+882+34301.96+4960.76+1470+37107.7)/0.98</f>
        <v>152209.51020408163</v>
      </c>
      <c r="G109" s="105"/>
      <c r="H109" s="106"/>
      <c r="I109" s="107"/>
      <c r="J109" s="26"/>
      <c r="K109" s="43"/>
      <c r="L109" s="27"/>
      <c r="M109" s="27"/>
      <c r="N109" s="27"/>
      <c r="O109" s="27"/>
      <c r="P109" s="27"/>
      <c r="Q109" s="27"/>
      <c r="R109" s="27"/>
      <c r="S109" s="27"/>
      <c r="T109" s="27"/>
      <c r="U109" s="27"/>
      <c r="V109" s="28"/>
      <c r="W109" s="28"/>
      <c r="X109" s="28"/>
      <c r="Y109" s="28"/>
      <c r="Z109" s="28"/>
      <c r="AA109" s="28"/>
      <c r="AB109" s="28"/>
      <c r="AC109" s="28"/>
      <c r="AD109" s="28"/>
      <c r="AE109" s="28"/>
      <c r="AF109" s="28"/>
      <c r="AG109" s="28"/>
      <c r="AH109" s="28"/>
      <c r="AI109" s="28"/>
      <c r="AJ109" s="28"/>
      <c r="AK109" s="28"/>
      <c r="AL109" s="28"/>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row>
    <row r="110" spans="1:114" s="30" customFormat="1" ht="15.75" customHeight="1">
      <c r="A110" s="123">
        <f t="shared" si="8"/>
        <v>88</v>
      </c>
      <c r="B110" s="101">
        <f t="shared" si="9"/>
        <v>12</v>
      </c>
      <c r="C110" s="102" t="s">
        <v>103</v>
      </c>
      <c r="D110" s="103" t="s">
        <v>883</v>
      </c>
      <c r="E110" s="102" t="s">
        <v>598</v>
      </c>
      <c r="F110" s="104">
        <v>228200000</v>
      </c>
      <c r="G110" s="105"/>
      <c r="H110" s="106">
        <v>42000000</v>
      </c>
      <c r="I110" s="107" t="s">
        <v>696</v>
      </c>
      <c r="J110" s="26"/>
      <c r="K110" s="43"/>
      <c r="L110" s="27"/>
      <c r="M110" s="27"/>
      <c r="N110" s="27"/>
      <c r="O110" s="27"/>
      <c r="P110" s="27"/>
      <c r="Q110" s="27"/>
      <c r="R110" s="27"/>
      <c r="S110" s="27"/>
      <c r="T110" s="27"/>
      <c r="U110" s="27"/>
      <c r="V110" s="28"/>
      <c r="W110" s="28"/>
      <c r="X110" s="28"/>
      <c r="Y110" s="28"/>
      <c r="Z110" s="28"/>
      <c r="AA110" s="28"/>
      <c r="AB110" s="28"/>
      <c r="AC110" s="28"/>
      <c r="AD110" s="28"/>
      <c r="AE110" s="28"/>
      <c r="AF110" s="28"/>
      <c r="AG110" s="28"/>
      <c r="AH110" s="28"/>
      <c r="AI110" s="28"/>
      <c r="AJ110" s="28"/>
      <c r="AK110" s="28"/>
      <c r="AL110" s="28"/>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row>
    <row r="111" spans="1:114" s="30" customFormat="1" ht="15.75" customHeight="1">
      <c r="A111" s="123">
        <f t="shared" si="8"/>
        <v>89</v>
      </c>
      <c r="B111" s="101">
        <f t="shared" si="9"/>
        <v>13</v>
      </c>
      <c r="C111" s="102" t="s">
        <v>104</v>
      </c>
      <c r="D111" s="103" t="s">
        <v>884</v>
      </c>
      <c r="E111" s="102" t="s">
        <v>598</v>
      </c>
      <c r="F111" s="104">
        <v>8616000</v>
      </c>
      <c r="G111" s="105"/>
      <c r="H111" s="106"/>
      <c r="I111" s="107"/>
      <c r="J111" s="26"/>
      <c r="K111" s="43"/>
      <c r="L111" s="27"/>
      <c r="M111" s="27"/>
      <c r="N111" s="27"/>
      <c r="O111" s="27"/>
      <c r="P111" s="27"/>
      <c r="Q111" s="27"/>
      <c r="R111" s="27"/>
      <c r="S111" s="27"/>
      <c r="T111" s="27"/>
      <c r="U111" s="27"/>
      <c r="V111" s="28"/>
      <c r="W111" s="28"/>
      <c r="X111" s="28"/>
      <c r="Y111" s="28"/>
      <c r="Z111" s="28"/>
      <c r="AA111" s="28"/>
      <c r="AB111" s="28"/>
      <c r="AC111" s="28"/>
      <c r="AD111" s="28"/>
      <c r="AE111" s="28"/>
      <c r="AF111" s="28"/>
      <c r="AG111" s="28"/>
      <c r="AH111" s="28"/>
      <c r="AI111" s="28"/>
      <c r="AJ111" s="28"/>
      <c r="AK111" s="28"/>
      <c r="AL111" s="28"/>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row>
    <row r="112" spans="1:114" s="30" customFormat="1" ht="15.75" customHeight="1">
      <c r="A112" s="123">
        <f t="shared" si="8"/>
        <v>90</v>
      </c>
      <c r="B112" s="101">
        <f t="shared" si="9"/>
        <v>14</v>
      </c>
      <c r="C112" s="102" t="s">
        <v>105</v>
      </c>
      <c r="D112" s="103" t="s">
        <v>885</v>
      </c>
      <c r="E112" s="102" t="s">
        <v>106</v>
      </c>
      <c r="F112" s="104">
        <v>40853006.12</v>
      </c>
      <c r="G112" s="105"/>
      <c r="H112" s="106"/>
      <c r="I112" s="107"/>
      <c r="J112" s="26"/>
      <c r="K112" s="43"/>
      <c r="L112" s="27"/>
      <c r="M112" s="27"/>
      <c r="N112" s="27"/>
      <c r="O112" s="27"/>
      <c r="P112" s="27"/>
      <c r="Q112" s="27"/>
      <c r="R112" s="27"/>
      <c r="S112" s="27"/>
      <c r="T112" s="27"/>
      <c r="U112" s="27"/>
      <c r="V112" s="28"/>
      <c r="W112" s="28"/>
      <c r="X112" s="28"/>
      <c r="Y112" s="28"/>
      <c r="Z112" s="28"/>
      <c r="AA112" s="28"/>
      <c r="AB112" s="28"/>
      <c r="AC112" s="28"/>
      <c r="AD112" s="28"/>
      <c r="AE112" s="28"/>
      <c r="AF112" s="28"/>
      <c r="AG112" s="28"/>
      <c r="AH112" s="28"/>
      <c r="AI112" s="28"/>
      <c r="AJ112" s="28"/>
      <c r="AK112" s="28"/>
      <c r="AL112" s="28"/>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row>
    <row r="113" spans="1:114" s="30" customFormat="1" ht="15.75" customHeight="1">
      <c r="A113" s="123">
        <f t="shared" si="8"/>
        <v>91</v>
      </c>
      <c r="B113" s="101">
        <f t="shared" si="9"/>
        <v>15</v>
      </c>
      <c r="C113" s="102" t="s">
        <v>107</v>
      </c>
      <c r="D113" s="103" t="s">
        <v>886</v>
      </c>
      <c r="E113" s="102" t="s">
        <v>106</v>
      </c>
      <c r="F113" s="104">
        <v>279954373.03</v>
      </c>
      <c r="G113" s="105"/>
      <c r="H113" s="106"/>
      <c r="I113" s="107"/>
      <c r="J113" s="26"/>
      <c r="K113" s="43"/>
      <c r="L113" s="27"/>
      <c r="M113" s="27"/>
      <c r="N113" s="27"/>
      <c r="O113" s="27"/>
      <c r="P113" s="27"/>
      <c r="Q113" s="27"/>
      <c r="R113" s="27"/>
      <c r="S113" s="27"/>
      <c r="T113" s="27"/>
      <c r="U113" s="27"/>
      <c r="V113" s="28"/>
      <c r="W113" s="28"/>
      <c r="X113" s="28"/>
      <c r="Y113" s="28"/>
      <c r="Z113" s="28"/>
      <c r="AA113" s="28"/>
      <c r="AB113" s="28"/>
      <c r="AC113" s="28"/>
      <c r="AD113" s="28"/>
      <c r="AE113" s="28"/>
      <c r="AF113" s="28"/>
      <c r="AG113" s="28"/>
      <c r="AH113" s="28"/>
      <c r="AI113" s="28"/>
      <c r="AJ113" s="28"/>
      <c r="AK113" s="28"/>
      <c r="AL113" s="28"/>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row>
    <row r="114" spans="1:114" s="30" customFormat="1" ht="15.75" customHeight="1">
      <c r="A114" s="123">
        <f t="shared" si="8"/>
        <v>92</v>
      </c>
      <c r="B114" s="101">
        <f t="shared" si="9"/>
        <v>16</v>
      </c>
      <c r="C114" s="102" t="s">
        <v>108</v>
      </c>
      <c r="D114" s="103" t="s">
        <v>887</v>
      </c>
      <c r="E114" s="102" t="s">
        <v>106</v>
      </c>
      <c r="F114" s="104">
        <v>918246250</v>
      </c>
      <c r="G114" s="105"/>
      <c r="H114" s="106"/>
      <c r="I114" s="107"/>
      <c r="J114" s="26"/>
      <c r="K114" s="43"/>
      <c r="L114" s="27"/>
      <c r="M114" s="27"/>
      <c r="N114" s="27"/>
      <c r="O114" s="27"/>
      <c r="P114" s="27"/>
      <c r="Q114" s="27"/>
      <c r="R114" s="27"/>
      <c r="S114" s="27"/>
      <c r="T114" s="27"/>
      <c r="U114" s="27"/>
      <c r="V114" s="28"/>
      <c r="W114" s="28"/>
      <c r="X114" s="28"/>
      <c r="Y114" s="28"/>
      <c r="Z114" s="28"/>
      <c r="AA114" s="28"/>
      <c r="AB114" s="28"/>
      <c r="AC114" s="28"/>
      <c r="AD114" s="28"/>
      <c r="AE114" s="28"/>
      <c r="AF114" s="28"/>
      <c r="AG114" s="28"/>
      <c r="AH114" s="28"/>
      <c r="AI114" s="28"/>
      <c r="AJ114" s="28"/>
      <c r="AK114" s="28"/>
      <c r="AL114" s="28"/>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row>
    <row r="115" spans="1:114" s="30" customFormat="1" ht="15.75" customHeight="1">
      <c r="A115" s="123">
        <f t="shared" si="8"/>
        <v>93</v>
      </c>
      <c r="B115" s="101">
        <f t="shared" si="9"/>
        <v>17</v>
      </c>
      <c r="C115" s="102" t="s">
        <v>109</v>
      </c>
      <c r="D115" s="103" t="s">
        <v>888</v>
      </c>
      <c r="E115" s="102" t="s">
        <v>597</v>
      </c>
      <c r="F115" s="104">
        <v>20000000</v>
      </c>
      <c r="G115" s="105"/>
      <c r="H115" s="106">
        <f>13200000+2506800000</f>
        <v>2520000000</v>
      </c>
      <c r="I115" s="115" t="s">
        <v>696</v>
      </c>
      <c r="J115" s="26"/>
      <c r="K115" s="43"/>
      <c r="L115" s="27"/>
      <c r="M115" s="27"/>
      <c r="N115" s="27"/>
      <c r="O115" s="27"/>
      <c r="P115" s="27"/>
      <c r="Q115" s="27"/>
      <c r="R115" s="27"/>
      <c r="S115" s="27"/>
      <c r="T115" s="27"/>
      <c r="U115" s="27"/>
      <c r="V115" s="28"/>
      <c r="W115" s="28"/>
      <c r="X115" s="28"/>
      <c r="Y115" s="28"/>
      <c r="Z115" s="28"/>
      <c r="AA115" s="28"/>
      <c r="AB115" s="28"/>
      <c r="AC115" s="28"/>
      <c r="AD115" s="28"/>
      <c r="AE115" s="28"/>
      <c r="AF115" s="28"/>
      <c r="AG115" s="28"/>
      <c r="AH115" s="28"/>
      <c r="AI115" s="28"/>
      <c r="AJ115" s="28"/>
      <c r="AK115" s="28"/>
      <c r="AL115" s="28"/>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row>
    <row r="116" spans="1:114" s="30" customFormat="1" ht="15.75" customHeight="1">
      <c r="A116" s="123">
        <f t="shared" si="8"/>
        <v>94</v>
      </c>
      <c r="B116" s="101">
        <f t="shared" si="9"/>
        <v>18</v>
      </c>
      <c r="C116" s="102" t="s">
        <v>110</v>
      </c>
      <c r="D116" s="103" t="s">
        <v>889</v>
      </c>
      <c r="E116" s="102" t="s">
        <v>595</v>
      </c>
      <c r="F116" s="104">
        <v>6500000</v>
      </c>
      <c r="G116" s="105"/>
      <c r="H116" s="106"/>
      <c r="I116" s="115"/>
      <c r="J116" s="26"/>
      <c r="K116" s="43"/>
      <c r="L116" s="27"/>
      <c r="M116" s="27"/>
      <c r="N116" s="27"/>
      <c r="O116" s="27"/>
      <c r="P116" s="27"/>
      <c r="Q116" s="27"/>
      <c r="R116" s="27"/>
      <c r="S116" s="27"/>
      <c r="T116" s="27"/>
      <c r="U116" s="27"/>
      <c r="V116" s="28"/>
      <c r="W116" s="28"/>
      <c r="X116" s="28"/>
      <c r="Y116" s="28"/>
      <c r="Z116" s="28"/>
      <c r="AA116" s="28"/>
      <c r="AB116" s="28"/>
      <c r="AC116" s="28"/>
      <c r="AD116" s="28"/>
      <c r="AE116" s="28"/>
      <c r="AF116" s="28"/>
      <c r="AG116" s="28"/>
      <c r="AH116" s="28"/>
      <c r="AI116" s="28"/>
      <c r="AJ116" s="28"/>
      <c r="AK116" s="28"/>
      <c r="AL116" s="28"/>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row>
    <row r="117" spans="1:114" s="30" customFormat="1" ht="15.75" customHeight="1">
      <c r="A117" s="123">
        <f t="shared" si="8"/>
        <v>95</v>
      </c>
      <c r="B117" s="101">
        <f t="shared" si="9"/>
        <v>19</v>
      </c>
      <c r="C117" s="102" t="s">
        <v>110</v>
      </c>
      <c r="D117" s="103" t="s">
        <v>890</v>
      </c>
      <c r="E117" s="102" t="s">
        <v>595</v>
      </c>
      <c r="F117" s="104">
        <v>5807000</v>
      </c>
      <c r="G117" s="105"/>
      <c r="H117" s="106"/>
      <c r="I117" s="107"/>
      <c r="J117" s="26"/>
      <c r="K117" s="43"/>
      <c r="L117" s="27"/>
      <c r="M117" s="27"/>
      <c r="N117" s="27"/>
      <c r="O117" s="27"/>
      <c r="P117" s="27"/>
      <c r="Q117" s="27"/>
      <c r="R117" s="27"/>
      <c r="S117" s="27"/>
      <c r="T117" s="27"/>
      <c r="U117" s="27"/>
      <c r="V117" s="28"/>
      <c r="W117" s="28"/>
      <c r="X117" s="28"/>
      <c r="Y117" s="28"/>
      <c r="Z117" s="28"/>
      <c r="AA117" s="28"/>
      <c r="AB117" s="28"/>
      <c r="AC117" s="28"/>
      <c r="AD117" s="28"/>
      <c r="AE117" s="28"/>
      <c r="AF117" s="28"/>
      <c r="AG117" s="28"/>
      <c r="AH117" s="28"/>
      <c r="AI117" s="28"/>
      <c r="AJ117" s="28"/>
      <c r="AK117" s="28"/>
      <c r="AL117" s="28"/>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row>
    <row r="118" spans="1:114" s="30" customFormat="1" ht="15.75" customHeight="1">
      <c r="A118" s="125">
        <f t="shared" si="8"/>
        <v>96</v>
      </c>
      <c r="B118" s="109">
        <f t="shared" si="9"/>
        <v>20</v>
      </c>
      <c r="C118" s="110" t="s">
        <v>111</v>
      </c>
      <c r="D118" s="111" t="s">
        <v>891</v>
      </c>
      <c r="E118" s="110" t="s">
        <v>598</v>
      </c>
      <c r="F118" s="112">
        <f>78938216.24/2.44</f>
        <v>32351727.967213113</v>
      </c>
      <c r="G118" s="113"/>
      <c r="H118" s="106"/>
      <c r="I118" s="107"/>
      <c r="J118" s="26"/>
      <c r="K118" s="43"/>
      <c r="L118" s="27"/>
      <c r="M118" s="27"/>
      <c r="N118" s="27"/>
      <c r="O118" s="27"/>
      <c r="P118" s="27"/>
      <c r="Q118" s="27"/>
      <c r="R118" s="27"/>
      <c r="S118" s="27"/>
      <c r="T118" s="27"/>
      <c r="U118" s="27"/>
      <c r="V118" s="28"/>
      <c r="W118" s="28"/>
      <c r="X118" s="28"/>
      <c r="Y118" s="28"/>
      <c r="Z118" s="28"/>
      <c r="AA118" s="28"/>
      <c r="AB118" s="28"/>
      <c r="AC118" s="28"/>
      <c r="AD118" s="28"/>
      <c r="AE118" s="28"/>
      <c r="AF118" s="28"/>
      <c r="AG118" s="28"/>
      <c r="AH118" s="28"/>
      <c r="AI118" s="28"/>
      <c r="AJ118" s="28"/>
      <c r="AK118" s="28"/>
      <c r="AL118" s="28"/>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row>
    <row r="119" spans="1:114" s="30" customFormat="1" ht="15.75" customHeight="1">
      <c r="A119" s="123">
        <f t="shared" si="8"/>
        <v>97</v>
      </c>
      <c r="B119" s="101">
        <f t="shared" si="9"/>
        <v>21</v>
      </c>
      <c r="C119" s="102" t="s">
        <v>111</v>
      </c>
      <c r="D119" s="103" t="s">
        <v>892</v>
      </c>
      <c r="E119" s="102" t="s">
        <v>598</v>
      </c>
      <c r="F119" s="104">
        <f>182404995.4/2.44</f>
        <v>74756145.65573771</v>
      </c>
      <c r="G119" s="105"/>
      <c r="H119" s="106"/>
      <c r="I119" s="107"/>
      <c r="J119" s="26"/>
      <c r="K119" s="43"/>
      <c r="L119" s="27"/>
      <c r="M119" s="27"/>
      <c r="N119" s="27"/>
      <c r="O119" s="27"/>
      <c r="P119" s="27"/>
      <c r="Q119" s="27"/>
      <c r="R119" s="27"/>
      <c r="S119" s="27"/>
      <c r="T119" s="27"/>
      <c r="U119" s="27"/>
      <c r="V119" s="28"/>
      <c r="W119" s="28"/>
      <c r="X119" s="28"/>
      <c r="Y119" s="28"/>
      <c r="Z119" s="28"/>
      <c r="AA119" s="28"/>
      <c r="AB119" s="28"/>
      <c r="AC119" s="28"/>
      <c r="AD119" s="28"/>
      <c r="AE119" s="28"/>
      <c r="AF119" s="28"/>
      <c r="AG119" s="28"/>
      <c r="AH119" s="28"/>
      <c r="AI119" s="28"/>
      <c r="AJ119" s="28"/>
      <c r="AK119" s="28"/>
      <c r="AL119" s="28"/>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row>
    <row r="120" spans="1:114" s="30" customFormat="1" ht="15.75" customHeight="1">
      <c r="A120" s="123">
        <f t="shared" si="8"/>
        <v>98</v>
      </c>
      <c r="B120" s="101">
        <f t="shared" si="9"/>
        <v>22</v>
      </c>
      <c r="C120" s="102" t="s">
        <v>112</v>
      </c>
      <c r="D120" s="103" t="s">
        <v>893</v>
      </c>
      <c r="E120" s="102" t="s">
        <v>594</v>
      </c>
      <c r="F120" s="104">
        <v>18856500</v>
      </c>
      <c r="G120" s="105"/>
      <c r="H120" s="106"/>
      <c r="I120" s="107"/>
      <c r="J120" s="26"/>
      <c r="K120" s="43"/>
      <c r="L120" s="27"/>
      <c r="M120" s="27"/>
      <c r="N120" s="27"/>
      <c r="O120" s="27"/>
      <c r="P120" s="27"/>
      <c r="Q120" s="27"/>
      <c r="R120" s="27"/>
      <c r="S120" s="27"/>
      <c r="T120" s="27"/>
      <c r="U120" s="27"/>
      <c r="V120" s="28"/>
      <c r="W120" s="28"/>
      <c r="X120" s="28"/>
      <c r="Y120" s="28"/>
      <c r="Z120" s="28"/>
      <c r="AA120" s="28"/>
      <c r="AB120" s="28"/>
      <c r="AC120" s="28"/>
      <c r="AD120" s="28"/>
      <c r="AE120" s="28"/>
      <c r="AF120" s="28"/>
      <c r="AG120" s="28"/>
      <c r="AH120" s="28"/>
      <c r="AI120" s="28"/>
      <c r="AJ120" s="28"/>
      <c r="AK120" s="28"/>
      <c r="AL120" s="28"/>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row>
    <row r="121" spans="1:114" s="30" customFormat="1" ht="15.75" customHeight="1">
      <c r="A121" s="123">
        <f t="shared" si="8"/>
        <v>99</v>
      </c>
      <c r="B121" s="101">
        <f t="shared" si="9"/>
        <v>23</v>
      </c>
      <c r="C121" s="102" t="s">
        <v>113</v>
      </c>
      <c r="D121" s="103" t="s">
        <v>894</v>
      </c>
      <c r="E121" s="102" t="s">
        <v>595</v>
      </c>
      <c r="F121" s="104">
        <v>805000</v>
      </c>
      <c r="G121" s="105"/>
      <c r="H121" s="106"/>
      <c r="I121" s="107"/>
      <c r="J121" s="26"/>
      <c r="K121" s="43"/>
      <c r="L121" s="27"/>
      <c r="M121" s="27"/>
      <c r="N121" s="27"/>
      <c r="O121" s="27"/>
      <c r="P121" s="27"/>
      <c r="Q121" s="27"/>
      <c r="R121" s="27"/>
      <c r="S121" s="27"/>
      <c r="T121" s="27"/>
      <c r="U121" s="27"/>
      <c r="V121" s="28"/>
      <c r="W121" s="28"/>
      <c r="X121" s="28"/>
      <c r="Y121" s="28"/>
      <c r="Z121" s="28"/>
      <c r="AA121" s="28"/>
      <c r="AB121" s="28"/>
      <c r="AC121" s="28"/>
      <c r="AD121" s="28"/>
      <c r="AE121" s="28"/>
      <c r="AF121" s="28"/>
      <c r="AG121" s="28"/>
      <c r="AH121" s="28"/>
      <c r="AI121" s="28"/>
      <c r="AJ121" s="28"/>
      <c r="AK121" s="28"/>
      <c r="AL121" s="28"/>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row>
    <row r="122" spans="1:114" s="30" customFormat="1" ht="15.75" customHeight="1">
      <c r="A122" s="123">
        <f t="shared" si="8"/>
        <v>100</v>
      </c>
      <c r="B122" s="101">
        <f t="shared" si="9"/>
        <v>24</v>
      </c>
      <c r="C122" s="102" t="s">
        <v>150</v>
      </c>
      <c r="D122" s="103" t="s">
        <v>895</v>
      </c>
      <c r="E122" s="102" t="s">
        <v>598</v>
      </c>
      <c r="F122" s="104">
        <f>99428287.35*0.1977</f>
        <v>19656972.409094997</v>
      </c>
      <c r="G122" s="105"/>
      <c r="H122" s="106"/>
      <c r="I122" s="107"/>
      <c r="J122" s="26"/>
      <c r="K122" s="43"/>
      <c r="L122" s="27"/>
      <c r="M122" s="27"/>
      <c r="N122" s="27"/>
      <c r="O122" s="27"/>
      <c r="P122" s="27"/>
      <c r="Q122" s="27"/>
      <c r="R122" s="27"/>
      <c r="S122" s="27"/>
      <c r="T122" s="27"/>
      <c r="U122" s="27"/>
      <c r="V122" s="28"/>
      <c r="W122" s="28"/>
      <c r="X122" s="28"/>
      <c r="Y122" s="28"/>
      <c r="Z122" s="28"/>
      <c r="AA122" s="28"/>
      <c r="AB122" s="28"/>
      <c r="AC122" s="28"/>
      <c r="AD122" s="28"/>
      <c r="AE122" s="28"/>
      <c r="AF122" s="28"/>
      <c r="AG122" s="28"/>
      <c r="AH122" s="28"/>
      <c r="AI122" s="28"/>
      <c r="AJ122" s="28"/>
      <c r="AK122" s="28"/>
      <c r="AL122" s="28"/>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row>
    <row r="123" spans="1:114" s="30" customFormat="1" ht="15.75" customHeight="1">
      <c r="A123" s="123">
        <f t="shared" si="8"/>
        <v>101</v>
      </c>
      <c r="B123" s="101">
        <f t="shared" si="9"/>
        <v>25</v>
      </c>
      <c r="C123" s="102" t="s">
        <v>114</v>
      </c>
      <c r="D123" s="103" t="s">
        <v>896</v>
      </c>
      <c r="E123" s="102" t="s">
        <v>596</v>
      </c>
      <c r="F123" s="104">
        <f>6760000-536216.95+162470.07-24783.57</f>
        <v>6361469.55</v>
      </c>
      <c r="G123" s="105"/>
      <c r="H123" s="106"/>
      <c r="I123" s="107"/>
      <c r="J123" s="26"/>
      <c r="K123" s="43"/>
      <c r="L123" s="27"/>
      <c r="M123" s="27"/>
      <c r="N123" s="27"/>
      <c r="O123" s="27"/>
      <c r="P123" s="27"/>
      <c r="Q123" s="27"/>
      <c r="R123" s="27"/>
      <c r="S123" s="27"/>
      <c r="T123" s="27"/>
      <c r="U123" s="27"/>
      <c r="V123" s="28"/>
      <c r="W123" s="28"/>
      <c r="X123" s="28"/>
      <c r="Y123" s="28"/>
      <c r="Z123" s="28"/>
      <c r="AA123" s="28"/>
      <c r="AB123" s="28"/>
      <c r="AC123" s="28"/>
      <c r="AD123" s="28"/>
      <c r="AE123" s="28"/>
      <c r="AF123" s="28"/>
      <c r="AG123" s="28"/>
      <c r="AH123" s="28"/>
      <c r="AI123" s="28"/>
      <c r="AJ123" s="28"/>
      <c r="AK123" s="28"/>
      <c r="AL123" s="28"/>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row>
    <row r="124" spans="1:114" s="30" customFormat="1" ht="15.75" customHeight="1">
      <c r="A124" s="123">
        <f t="shared" si="8"/>
        <v>102</v>
      </c>
      <c r="B124" s="101">
        <f t="shared" si="9"/>
        <v>26</v>
      </c>
      <c r="C124" s="102" t="s">
        <v>115</v>
      </c>
      <c r="D124" s="103" t="s">
        <v>897</v>
      </c>
      <c r="E124" s="102" t="s">
        <v>598</v>
      </c>
      <c r="F124" s="104">
        <f>8833791.6/2.569</f>
        <v>3438610.977033865</v>
      </c>
      <c r="G124" s="105"/>
      <c r="H124" s="106"/>
      <c r="I124" s="107"/>
      <c r="J124" s="26"/>
      <c r="K124" s="43"/>
      <c r="L124" s="27"/>
      <c r="M124" s="27"/>
      <c r="N124" s="27"/>
      <c r="O124" s="27"/>
      <c r="P124" s="27"/>
      <c r="Q124" s="27"/>
      <c r="R124" s="27"/>
      <c r="S124" s="27"/>
      <c r="T124" s="27"/>
      <c r="U124" s="27"/>
      <c r="V124" s="28"/>
      <c r="W124" s="28"/>
      <c r="X124" s="28"/>
      <c r="Y124" s="28"/>
      <c r="Z124" s="28"/>
      <c r="AA124" s="28"/>
      <c r="AB124" s="28"/>
      <c r="AC124" s="28"/>
      <c r="AD124" s="28"/>
      <c r="AE124" s="28"/>
      <c r="AF124" s="28"/>
      <c r="AG124" s="28"/>
      <c r="AH124" s="28"/>
      <c r="AI124" s="28"/>
      <c r="AJ124" s="28"/>
      <c r="AK124" s="28"/>
      <c r="AL124" s="28"/>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row>
    <row r="125" spans="1:114" s="30" customFormat="1" ht="15.75" customHeight="1">
      <c r="A125" s="123">
        <f t="shared" si="8"/>
        <v>103</v>
      </c>
      <c r="B125" s="101">
        <f t="shared" si="9"/>
        <v>27</v>
      </c>
      <c r="C125" s="102" t="s">
        <v>144</v>
      </c>
      <c r="D125" s="103" t="s">
        <v>145</v>
      </c>
      <c r="E125" s="102" t="s">
        <v>594</v>
      </c>
      <c r="F125" s="104">
        <v>202000000</v>
      </c>
      <c r="G125" s="105"/>
      <c r="H125" s="106">
        <v>25000000</v>
      </c>
      <c r="I125" s="115" t="s">
        <v>696</v>
      </c>
      <c r="J125" s="26"/>
      <c r="K125" s="43"/>
      <c r="L125" s="27"/>
      <c r="M125" s="27"/>
      <c r="N125" s="27"/>
      <c r="O125" s="27"/>
      <c r="P125" s="27"/>
      <c r="Q125" s="27"/>
      <c r="R125" s="27"/>
      <c r="S125" s="27"/>
      <c r="T125" s="27"/>
      <c r="U125" s="27"/>
      <c r="V125" s="28"/>
      <c r="W125" s="28"/>
      <c r="X125" s="28"/>
      <c r="Y125" s="28"/>
      <c r="Z125" s="28"/>
      <c r="AA125" s="28"/>
      <c r="AB125" s="28"/>
      <c r="AC125" s="28"/>
      <c r="AD125" s="28"/>
      <c r="AE125" s="28"/>
      <c r="AF125" s="28"/>
      <c r="AG125" s="28"/>
      <c r="AH125" s="28"/>
      <c r="AI125" s="28"/>
      <c r="AJ125" s="28"/>
      <c r="AK125" s="28"/>
      <c r="AL125" s="28"/>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row>
    <row r="126" spans="1:114" s="30" customFormat="1" ht="15.75" customHeight="1">
      <c r="A126" s="123">
        <f t="shared" si="8"/>
        <v>104</v>
      </c>
      <c r="B126" s="101">
        <f t="shared" si="9"/>
        <v>28</v>
      </c>
      <c r="C126" s="102" t="s">
        <v>116</v>
      </c>
      <c r="D126" s="103" t="s">
        <v>898</v>
      </c>
      <c r="E126" s="102" t="s">
        <v>598</v>
      </c>
      <c r="F126" s="104">
        <f>17252431.56/2.585</f>
        <v>6674054.762088974</v>
      </c>
      <c r="G126" s="105"/>
      <c r="H126" s="106"/>
      <c r="I126" s="107"/>
      <c r="J126" s="26"/>
      <c r="K126" s="43"/>
      <c r="L126" s="27"/>
      <c r="M126" s="27"/>
      <c r="N126" s="27"/>
      <c r="O126" s="27"/>
      <c r="P126" s="27"/>
      <c r="Q126" s="27"/>
      <c r="R126" s="27"/>
      <c r="S126" s="27"/>
      <c r="T126" s="27"/>
      <c r="U126" s="27"/>
      <c r="V126" s="28"/>
      <c r="W126" s="28"/>
      <c r="X126" s="28"/>
      <c r="Y126" s="28"/>
      <c r="Z126" s="28"/>
      <c r="AA126" s="28"/>
      <c r="AB126" s="28"/>
      <c r="AC126" s="28"/>
      <c r="AD126" s="28"/>
      <c r="AE126" s="28"/>
      <c r="AF126" s="28"/>
      <c r="AG126" s="28"/>
      <c r="AH126" s="28"/>
      <c r="AI126" s="28"/>
      <c r="AJ126" s="28"/>
      <c r="AK126" s="28"/>
      <c r="AL126" s="28"/>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row>
    <row r="127" spans="1:114" s="30" customFormat="1" ht="15.75" customHeight="1">
      <c r="A127" s="123">
        <f t="shared" si="8"/>
        <v>105</v>
      </c>
      <c r="B127" s="101">
        <f t="shared" si="9"/>
        <v>29</v>
      </c>
      <c r="C127" s="102" t="s">
        <v>117</v>
      </c>
      <c r="D127" s="103" t="s">
        <v>899</v>
      </c>
      <c r="E127" s="102" t="s">
        <v>598</v>
      </c>
      <c r="F127" s="104">
        <f>94370587.92/2.6</f>
        <v>36296379.96923077</v>
      </c>
      <c r="G127" s="105"/>
      <c r="H127" s="106"/>
      <c r="I127" s="107"/>
      <c r="J127" s="26"/>
      <c r="K127" s="43"/>
      <c r="L127" s="27"/>
      <c r="M127" s="27"/>
      <c r="N127" s="27"/>
      <c r="O127" s="27"/>
      <c r="P127" s="27"/>
      <c r="Q127" s="27"/>
      <c r="R127" s="27"/>
      <c r="S127" s="27"/>
      <c r="T127" s="27"/>
      <c r="U127" s="27"/>
      <c r="V127" s="28"/>
      <c r="W127" s="28"/>
      <c r="X127" s="28"/>
      <c r="Y127" s="28"/>
      <c r="Z127" s="28"/>
      <c r="AA127" s="28"/>
      <c r="AB127" s="28"/>
      <c r="AC127" s="28"/>
      <c r="AD127" s="28"/>
      <c r="AE127" s="28"/>
      <c r="AF127" s="28"/>
      <c r="AG127" s="28"/>
      <c r="AH127" s="28"/>
      <c r="AI127" s="28"/>
      <c r="AJ127" s="28"/>
      <c r="AK127" s="28"/>
      <c r="AL127" s="28"/>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row>
    <row r="128" spans="1:114" s="30" customFormat="1" ht="15.75" customHeight="1">
      <c r="A128" s="123">
        <f t="shared" si="8"/>
        <v>106</v>
      </c>
      <c r="B128" s="101">
        <f t="shared" si="9"/>
        <v>30</v>
      </c>
      <c r="C128" s="102" t="s">
        <v>118</v>
      </c>
      <c r="D128" s="103" t="s">
        <v>900</v>
      </c>
      <c r="E128" s="102" t="s">
        <v>595</v>
      </c>
      <c r="F128" s="104">
        <v>5751333</v>
      </c>
      <c r="G128" s="105"/>
      <c r="H128" s="106"/>
      <c r="I128" s="107"/>
      <c r="J128" s="26"/>
      <c r="K128" s="43"/>
      <c r="L128" s="27"/>
      <c r="M128" s="27"/>
      <c r="N128" s="27"/>
      <c r="O128" s="27"/>
      <c r="P128" s="27"/>
      <c r="Q128" s="27"/>
      <c r="R128" s="27"/>
      <c r="S128" s="27"/>
      <c r="T128" s="27"/>
      <c r="U128" s="27"/>
      <c r="V128" s="28"/>
      <c r="W128" s="28"/>
      <c r="X128" s="28"/>
      <c r="Y128" s="28"/>
      <c r="Z128" s="28"/>
      <c r="AA128" s="28"/>
      <c r="AB128" s="28"/>
      <c r="AC128" s="28"/>
      <c r="AD128" s="28"/>
      <c r="AE128" s="28"/>
      <c r="AF128" s="28"/>
      <c r="AG128" s="28"/>
      <c r="AH128" s="28"/>
      <c r="AI128" s="28"/>
      <c r="AJ128" s="28"/>
      <c r="AK128" s="28"/>
      <c r="AL128" s="28"/>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row>
    <row r="129" spans="1:114" s="30" customFormat="1" ht="15.75" customHeight="1">
      <c r="A129" s="123">
        <f t="shared" si="8"/>
        <v>107</v>
      </c>
      <c r="B129" s="101">
        <f t="shared" si="9"/>
        <v>31</v>
      </c>
      <c r="C129" s="102" t="s">
        <v>119</v>
      </c>
      <c r="D129" s="103" t="s">
        <v>901</v>
      </c>
      <c r="E129" s="102" t="s">
        <v>598</v>
      </c>
      <c r="F129" s="104">
        <f>23999994</f>
        <v>23999994</v>
      </c>
      <c r="G129" s="105"/>
      <c r="H129" s="106"/>
      <c r="I129" s="107"/>
      <c r="J129" s="26"/>
      <c r="K129" s="43"/>
      <c r="L129" s="27"/>
      <c r="M129" s="27"/>
      <c r="N129" s="27"/>
      <c r="O129" s="27"/>
      <c r="P129" s="27"/>
      <c r="Q129" s="27"/>
      <c r="R129" s="27"/>
      <c r="S129" s="27"/>
      <c r="T129" s="27"/>
      <c r="U129" s="27"/>
      <c r="V129" s="28"/>
      <c r="W129" s="28"/>
      <c r="X129" s="28"/>
      <c r="Y129" s="28"/>
      <c r="Z129" s="28"/>
      <c r="AA129" s="28"/>
      <c r="AB129" s="28"/>
      <c r="AC129" s="28"/>
      <c r="AD129" s="28"/>
      <c r="AE129" s="28"/>
      <c r="AF129" s="28"/>
      <c r="AG129" s="28"/>
      <c r="AH129" s="28"/>
      <c r="AI129" s="28"/>
      <c r="AJ129" s="28"/>
      <c r="AK129" s="28"/>
      <c r="AL129" s="28"/>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row>
    <row r="130" spans="1:114" s="30" customFormat="1" ht="15.75" customHeight="1">
      <c r="A130" s="123">
        <f t="shared" si="8"/>
        <v>108</v>
      </c>
      <c r="B130" s="101">
        <f t="shared" si="9"/>
        <v>32</v>
      </c>
      <c r="C130" s="102" t="s">
        <v>119</v>
      </c>
      <c r="D130" s="103" t="s">
        <v>902</v>
      </c>
      <c r="E130" s="102" t="s">
        <v>598</v>
      </c>
      <c r="F130" s="104">
        <f>108209942.3/2.584</f>
        <v>41876912.65479876</v>
      </c>
      <c r="G130" s="105"/>
      <c r="H130" s="106"/>
      <c r="I130" s="107"/>
      <c r="J130" s="26"/>
      <c r="K130" s="43"/>
      <c r="L130" s="27"/>
      <c r="M130" s="27"/>
      <c r="N130" s="27"/>
      <c r="O130" s="27"/>
      <c r="P130" s="27"/>
      <c r="Q130" s="27"/>
      <c r="R130" s="27"/>
      <c r="S130" s="27"/>
      <c r="T130" s="27"/>
      <c r="U130" s="27"/>
      <c r="V130" s="28"/>
      <c r="W130" s="28"/>
      <c r="X130" s="28"/>
      <c r="Y130" s="28"/>
      <c r="Z130" s="28"/>
      <c r="AA130" s="28"/>
      <c r="AB130" s="28"/>
      <c r="AC130" s="28"/>
      <c r="AD130" s="28"/>
      <c r="AE130" s="28"/>
      <c r="AF130" s="28"/>
      <c r="AG130" s="28"/>
      <c r="AH130" s="28"/>
      <c r="AI130" s="28"/>
      <c r="AJ130" s="28"/>
      <c r="AK130" s="28"/>
      <c r="AL130" s="28"/>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row>
    <row r="131" spans="1:114" s="30" customFormat="1" ht="15.75" customHeight="1">
      <c r="A131" s="123">
        <f t="shared" si="8"/>
        <v>109</v>
      </c>
      <c r="B131" s="101">
        <f t="shared" si="9"/>
        <v>33</v>
      </c>
      <c r="C131" s="102" t="s">
        <v>119</v>
      </c>
      <c r="D131" s="103" t="s">
        <v>903</v>
      </c>
      <c r="E131" s="102" t="s">
        <v>598</v>
      </c>
      <c r="F131" s="104">
        <f>249619444.71/2.584</f>
        <v>96601952.28715171</v>
      </c>
      <c r="G131" s="105"/>
      <c r="H131" s="106"/>
      <c r="I131" s="107"/>
      <c r="J131" s="26"/>
      <c r="K131" s="43"/>
      <c r="L131" s="27"/>
      <c r="M131" s="27"/>
      <c r="N131" s="27"/>
      <c r="O131" s="27"/>
      <c r="P131" s="27"/>
      <c r="Q131" s="27"/>
      <c r="R131" s="27"/>
      <c r="S131" s="27"/>
      <c r="T131" s="27"/>
      <c r="U131" s="27"/>
      <c r="V131" s="28"/>
      <c r="W131" s="28"/>
      <c r="X131" s="28"/>
      <c r="Y131" s="28"/>
      <c r="Z131" s="28"/>
      <c r="AA131" s="28"/>
      <c r="AB131" s="28"/>
      <c r="AC131" s="28"/>
      <c r="AD131" s="28"/>
      <c r="AE131" s="28"/>
      <c r="AF131" s="28"/>
      <c r="AG131" s="28"/>
      <c r="AH131" s="28"/>
      <c r="AI131" s="28"/>
      <c r="AJ131" s="28"/>
      <c r="AK131" s="28"/>
      <c r="AL131" s="28"/>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row>
    <row r="132" spans="1:114" s="30" customFormat="1" ht="15.75" customHeight="1">
      <c r="A132" s="123">
        <f t="shared" si="8"/>
        <v>110</v>
      </c>
      <c r="B132" s="101">
        <f t="shared" si="9"/>
        <v>34</v>
      </c>
      <c r="C132" s="102" t="s">
        <v>120</v>
      </c>
      <c r="D132" s="103" t="s">
        <v>904</v>
      </c>
      <c r="E132" s="102" t="s">
        <v>595</v>
      </c>
      <c r="F132" s="104">
        <v>6038733</v>
      </c>
      <c r="G132" s="105"/>
      <c r="H132" s="106"/>
      <c r="I132" s="115"/>
      <c r="J132" s="26"/>
      <c r="K132" s="43"/>
      <c r="L132" s="27"/>
      <c r="M132" s="27"/>
      <c r="N132" s="27"/>
      <c r="O132" s="27"/>
      <c r="P132" s="27"/>
      <c r="Q132" s="27"/>
      <c r="R132" s="27"/>
      <c r="S132" s="27"/>
      <c r="T132" s="27"/>
      <c r="U132" s="27"/>
      <c r="V132" s="28"/>
      <c r="W132" s="28"/>
      <c r="X132" s="28"/>
      <c r="Y132" s="28"/>
      <c r="Z132" s="28"/>
      <c r="AA132" s="28"/>
      <c r="AB132" s="28"/>
      <c r="AC132" s="28"/>
      <c r="AD132" s="28"/>
      <c r="AE132" s="28"/>
      <c r="AF132" s="28"/>
      <c r="AG132" s="28"/>
      <c r="AH132" s="28"/>
      <c r="AI132" s="28"/>
      <c r="AJ132" s="28"/>
      <c r="AK132" s="28"/>
      <c r="AL132" s="28"/>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row>
    <row r="133" spans="1:114" s="38" customFormat="1" ht="15.75" customHeight="1">
      <c r="A133" s="123">
        <f t="shared" si="8"/>
        <v>111</v>
      </c>
      <c r="B133" s="101">
        <f t="shared" si="9"/>
        <v>35</v>
      </c>
      <c r="C133" s="102" t="s">
        <v>120</v>
      </c>
      <c r="D133" s="103" t="s">
        <v>905</v>
      </c>
      <c r="E133" s="102" t="s">
        <v>595</v>
      </c>
      <c r="F133" s="104">
        <v>5105109</v>
      </c>
      <c r="G133" s="105"/>
      <c r="H133" s="106"/>
      <c r="I133" s="107"/>
      <c r="J133" s="26"/>
      <c r="K133" s="43"/>
      <c r="L133" s="27"/>
      <c r="M133" s="27"/>
      <c r="N133" s="27"/>
      <c r="O133" s="27"/>
      <c r="P133" s="27"/>
      <c r="Q133" s="27"/>
      <c r="R133" s="27"/>
      <c r="S133" s="27"/>
      <c r="T133" s="27"/>
      <c r="U133" s="27"/>
      <c r="V133" s="28"/>
      <c r="W133" s="28"/>
      <c r="X133" s="28"/>
      <c r="Y133" s="28"/>
      <c r="Z133" s="28"/>
      <c r="AA133" s="28"/>
      <c r="AB133" s="28"/>
      <c r="AC133" s="28"/>
      <c r="AD133" s="28"/>
      <c r="AE133" s="28"/>
      <c r="AF133" s="28"/>
      <c r="AG133" s="28"/>
      <c r="AH133" s="28"/>
      <c r="AI133" s="28"/>
      <c r="AJ133" s="28"/>
      <c r="AK133" s="28"/>
      <c r="AL133" s="28"/>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row>
    <row r="134" spans="1:114" s="38" customFormat="1" ht="15.75" customHeight="1">
      <c r="A134" s="123">
        <f t="shared" si="8"/>
        <v>112</v>
      </c>
      <c r="B134" s="101">
        <f t="shared" si="9"/>
        <v>36</v>
      </c>
      <c r="C134" s="124" t="s">
        <v>120</v>
      </c>
      <c r="D134" s="103" t="s">
        <v>121</v>
      </c>
      <c r="E134" s="102" t="s">
        <v>595</v>
      </c>
      <c r="F134" s="104">
        <v>5017000</v>
      </c>
      <c r="G134" s="105"/>
      <c r="H134" s="106"/>
      <c r="I134" s="107"/>
      <c r="J134" s="26"/>
      <c r="K134" s="43"/>
      <c r="L134" s="27"/>
      <c r="M134" s="27"/>
      <c r="N134" s="27"/>
      <c r="O134" s="27"/>
      <c r="P134" s="27"/>
      <c r="Q134" s="27"/>
      <c r="R134" s="27"/>
      <c r="S134" s="27"/>
      <c r="T134" s="27"/>
      <c r="U134" s="27"/>
      <c r="V134" s="28"/>
      <c r="W134" s="28"/>
      <c r="X134" s="28"/>
      <c r="Y134" s="28"/>
      <c r="Z134" s="28"/>
      <c r="AA134" s="28"/>
      <c r="AB134" s="28"/>
      <c r="AC134" s="28"/>
      <c r="AD134" s="28"/>
      <c r="AE134" s="28"/>
      <c r="AF134" s="28"/>
      <c r="AG134" s="28"/>
      <c r="AH134" s="28"/>
      <c r="AI134" s="28"/>
      <c r="AJ134" s="28"/>
      <c r="AK134" s="28"/>
      <c r="AL134" s="28"/>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row>
    <row r="135" spans="1:114" s="38" customFormat="1" ht="15.75" customHeight="1">
      <c r="A135" s="126">
        <f t="shared" si="8"/>
        <v>113</v>
      </c>
      <c r="B135" s="127">
        <f t="shared" si="9"/>
        <v>37</v>
      </c>
      <c r="C135" s="128" t="s">
        <v>120</v>
      </c>
      <c r="D135" s="129" t="s">
        <v>906</v>
      </c>
      <c r="E135" s="128" t="s">
        <v>595</v>
      </c>
      <c r="F135" s="130">
        <v>2840000</v>
      </c>
      <c r="G135" s="131"/>
      <c r="H135" s="132"/>
      <c r="I135" s="133"/>
      <c r="J135" s="26"/>
      <c r="K135" s="43"/>
      <c r="L135" s="27"/>
      <c r="M135" s="27"/>
      <c r="N135" s="27"/>
      <c r="O135" s="27"/>
      <c r="P135" s="27"/>
      <c r="Q135" s="27"/>
      <c r="R135" s="27"/>
      <c r="S135" s="27"/>
      <c r="T135" s="27"/>
      <c r="U135" s="27"/>
      <c r="V135" s="28"/>
      <c r="W135" s="28"/>
      <c r="X135" s="28"/>
      <c r="Y135" s="28"/>
      <c r="Z135" s="28"/>
      <c r="AA135" s="28"/>
      <c r="AB135" s="28"/>
      <c r="AC135" s="28"/>
      <c r="AD135" s="28"/>
      <c r="AE135" s="28"/>
      <c r="AF135" s="28"/>
      <c r="AG135" s="28"/>
      <c r="AH135" s="28"/>
      <c r="AI135" s="28"/>
      <c r="AJ135" s="28"/>
      <c r="AK135" s="28"/>
      <c r="AL135" s="28"/>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row>
    <row r="136" spans="1:114" s="30" customFormat="1" ht="15.75" customHeight="1">
      <c r="A136" s="282" t="s">
        <v>122</v>
      </c>
      <c r="B136" s="283"/>
      <c r="C136" s="283"/>
      <c r="D136" s="283"/>
      <c r="E136" s="22"/>
      <c r="F136" s="23">
        <f>SUM(F99:F135)</f>
        <v>2625959062.458512</v>
      </c>
      <c r="G136" s="23"/>
      <c r="H136" s="24">
        <f>SUM(H99:H135)</f>
        <v>2692000000</v>
      </c>
      <c r="I136" s="25"/>
      <c r="J136" s="26"/>
      <c r="K136" s="27"/>
      <c r="L136" s="27"/>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row>
    <row r="137" spans="1:114" s="38" customFormat="1" ht="15.75" customHeight="1">
      <c r="A137" s="291">
        <v>1997</v>
      </c>
      <c r="B137" s="292"/>
      <c r="C137" s="292"/>
      <c r="D137" s="292"/>
      <c r="E137" s="292"/>
      <c r="F137" s="292"/>
      <c r="G137" s="292"/>
      <c r="H137" s="292"/>
      <c r="I137" s="293"/>
      <c r="J137" s="26"/>
      <c r="K137" s="43"/>
      <c r="L137" s="27"/>
      <c r="M137" s="27"/>
      <c r="N137" s="27"/>
      <c r="O137" s="27"/>
      <c r="P137" s="27"/>
      <c r="Q137" s="27"/>
      <c r="R137" s="27"/>
      <c r="S137" s="27"/>
      <c r="T137" s="27"/>
      <c r="U137" s="27"/>
      <c r="V137" s="28"/>
      <c r="W137" s="28"/>
      <c r="X137" s="28"/>
      <c r="Y137" s="28"/>
      <c r="Z137" s="28"/>
      <c r="AA137" s="28"/>
      <c r="AB137" s="28"/>
      <c r="AC137" s="28"/>
      <c r="AD137" s="28"/>
      <c r="AE137" s="28"/>
      <c r="AF137" s="28"/>
      <c r="AG137" s="28"/>
      <c r="AH137" s="28"/>
      <c r="AI137" s="28"/>
      <c r="AJ137" s="28"/>
      <c r="AK137" s="28"/>
      <c r="AL137" s="28"/>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row>
    <row r="138" spans="1:114" s="38" customFormat="1" ht="15.75" customHeight="1">
      <c r="A138" s="75">
        <f>A135+1</f>
        <v>114</v>
      </c>
      <c r="B138" s="76">
        <v>1</v>
      </c>
      <c r="C138" s="77" t="s">
        <v>123</v>
      </c>
      <c r="D138" s="78" t="s">
        <v>907</v>
      </c>
      <c r="E138" s="77" t="s">
        <v>598</v>
      </c>
      <c r="F138" s="98">
        <f>51283000*0.5</f>
        <v>25641500</v>
      </c>
      <c r="G138" s="99"/>
      <c r="H138" s="79">
        <f>51283000*0.5</f>
        <v>25641500</v>
      </c>
      <c r="I138" s="81" t="s">
        <v>696</v>
      </c>
      <c r="J138" s="26"/>
      <c r="K138" s="43"/>
      <c r="L138" s="27"/>
      <c r="M138" s="27"/>
      <c r="N138" s="27"/>
      <c r="O138" s="27"/>
      <c r="P138" s="27"/>
      <c r="Q138" s="27"/>
      <c r="R138" s="27"/>
      <c r="S138" s="27"/>
      <c r="T138" s="27"/>
      <c r="U138" s="27"/>
      <c r="V138" s="28"/>
      <c r="W138" s="28"/>
      <c r="X138" s="28"/>
      <c r="Y138" s="28"/>
      <c r="Z138" s="28"/>
      <c r="AA138" s="28"/>
      <c r="AB138" s="28"/>
      <c r="AC138" s="28"/>
      <c r="AD138" s="28"/>
      <c r="AE138" s="28"/>
      <c r="AF138" s="28"/>
      <c r="AG138" s="28"/>
      <c r="AH138" s="28"/>
      <c r="AI138" s="28"/>
      <c r="AJ138" s="28"/>
      <c r="AK138" s="28"/>
      <c r="AL138" s="28"/>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row>
    <row r="139" spans="1:114" s="38" customFormat="1" ht="15.75" customHeight="1">
      <c r="A139" s="123">
        <f aca="true" t="shared" si="10" ref="A139:B141">A138+1</f>
        <v>115</v>
      </c>
      <c r="B139" s="101">
        <f t="shared" si="10"/>
        <v>2</v>
      </c>
      <c r="C139" s="102" t="s">
        <v>124</v>
      </c>
      <c r="D139" s="103" t="s">
        <v>908</v>
      </c>
      <c r="E139" s="102" t="s">
        <v>597</v>
      </c>
      <c r="F139" s="104">
        <f>8050000+457416.04</f>
        <v>8507416.04</v>
      </c>
      <c r="G139" s="105"/>
      <c r="H139" s="106">
        <v>110200000</v>
      </c>
      <c r="I139" s="107" t="s">
        <v>696</v>
      </c>
      <c r="J139" s="26"/>
      <c r="K139" s="43"/>
      <c r="L139" s="27"/>
      <c r="M139" s="27"/>
      <c r="N139" s="27"/>
      <c r="O139" s="27"/>
      <c r="P139" s="27"/>
      <c r="Q139" s="27"/>
      <c r="R139" s="27"/>
      <c r="S139" s="27"/>
      <c r="T139" s="27"/>
      <c r="U139" s="27"/>
      <c r="V139" s="28"/>
      <c r="W139" s="28"/>
      <c r="X139" s="28"/>
      <c r="Y139" s="28"/>
      <c r="Z139" s="28"/>
      <c r="AA139" s="28"/>
      <c r="AB139" s="28"/>
      <c r="AC139" s="28"/>
      <c r="AD139" s="28"/>
      <c r="AE139" s="28"/>
      <c r="AF139" s="28"/>
      <c r="AG139" s="28"/>
      <c r="AH139" s="28"/>
      <c r="AI139" s="28"/>
      <c r="AJ139" s="28"/>
      <c r="AK139" s="28"/>
      <c r="AL139" s="28"/>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row>
    <row r="140" spans="1:114" s="44" customFormat="1" ht="15.75" customHeight="1">
      <c r="A140" s="123">
        <f t="shared" si="10"/>
        <v>116</v>
      </c>
      <c r="B140" s="101">
        <f t="shared" si="10"/>
        <v>3</v>
      </c>
      <c r="C140" s="102" t="s">
        <v>124</v>
      </c>
      <c r="D140" s="103" t="s">
        <v>909</v>
      </c>
      <c r="E140" s="102" t="s">
        <v>597</v>
      </c>
      <c r="F140" s="104">
        <v>1050000</v>
      </c>
      <c r="G140" s="105"/>
      <c r="H140" s="106"/>
      <c r="I140" s="107"/>
      <c r="J140" s="26"/>
      <c r="K140" s="43"/>
      <c r="L140" s="27"/>
      <c r="M140" s="27"/>
      <c r="N140" s="27"/>
      <c r="O140" s="27"/>
      <c r="P140" s="27"/>
      <c r="Q140" s="27"/>
      <c r="R140" s="27"/>
      <c r="S140" s="27"/>
      <c r="T140" s="27"/>
      <c r="U140" s="27"/>
      <c r="V140" s="28"/>
      <c r="W140" s="28"/>
      <c r="X140" s="28"/>
      <c r="Y140" s="28"/>
      <c r="Z140" s="28"/>
      <c r="AA140" s="28"/>
      <c r="AB140" s="28"/>
      <c r="AC140" s="28"/>
      <c r="AD140" s="28"/>
      <c r="AE140" s="28"/>
      <c r="AF140" s="28"/>
      <c r="AG140" s="28"/>
      <c r="AH140" s="28"/>
      <c r="AI140" s="28"/>
      <c r="AJ140" s="28"/>
      <c r="AK140" s="28"/>
      <c r="AL140" s="28"/>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row>
    <row r="141" spans="1:114" s="38" customFormat="1" ht="15.75" customHeight="1">
      <c r="A141" s="123">
        <f t="shared" si="10"/>
        <v>117</v>
      </c>
      <c r="B141" s="101">
        <f t="shared" si="10"/>
        <v>4</v>
      </c>
      <c r="C141" s="102" t="s">
        <v>125</v>
      </c>
      <c r="D141" s="103" t="s">
        <v>910</v>
      </c>
      <c r="E141" s="102" t="s">
        <v>126</v>
      </c>
      <c r="F141" s="104">
        <v>16000000</v>
      </c>
      <c r="G141" s="105"/>
      <c r="H141" s="106"/>
      <c r="I141" s="115"/>
      <c r="J141" s="26"/>
      <c r="K141" s="43"/>
      <c r="L141" s="27"/>
      <c r="M141" s="27"/>
      <c r="N141" s="27"/>
      <c r="O141" s="27"/>
      <c r="P141" s="27"/>
      <c r="Q141" s="27"/>
      <c r="R141" s="27"/>
      <c r="S141" s="27"/>
      <c r="T141" s="27"/>
      <c r="U141" s="27"/>
      <c r="V141" s="28"/>
      <c r="W141" s="28"/>
      <c r="X141" s="28"/>
      <c r="Y141" s="28"/>
      <c r="Z141" s="28"/>
      <c r="AA141" s="28"/>
      <c r="AB141" s="28"/>
      <c r="AC141" s="28"/>
      <c r="AD141" s="28"/>
      <c r="AE141" s="28"/>
      <c r="AF141" s="28"/>
      <c r="AG141" s="28"/>
      <c r="AH141" s="28"/>
      <c r="AI141" s="28"/>
      <c r="AJ141" s="28"/>
      <c r="AK141" s="28"/>
      <c r="AL141" s="28"/>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row>
    <row r="142" spans="1:114" s="38" customFormat="1" ht="15.75" customHeight="1">
      <c r="A142" s="123">
        <f aca="true" t="shared" si="11" ref="A142:B145">+A141+1</f>
        <v>118</v>
      </c>
      <c r="B142" s="101">
        <f t="shared" si="11"/>
        <v>5</v>
      </c>
      <c r="C142" s="102" t="s">
        <v>127</v>
      </c>
      <c r="D142" s="103" t="s">
        <v>911</v>
      </c>
      <c r="E142" s="102" t="s">
        <v>596</v>
      </c>
      <c r="F142" s="104">
        <v>1086403.39</v>
      </c>
      <c r="G142" s="105"/>
      <c r="H142" s="106"/>
      <c r="I142" s="107"/>
      <c r="J142" s="26"/>
      <c r="K142" s="43"/>
      <c r="L142" s="27"/>
      <c r="M142" s="27"/>
      <c r="N142" s="27"/>
      <c r="O142" s="27"/>
      <c r="P142" s="27"/>
      <c r="Q142" s="27"/>
      <c r="R142" s="27"/>
      <c r="S142" s="27"/>
      <c r="T142" s="27"/>
      <c r="U142" s="27"/>
      <c r="V142" s="28"/>
      <c r="W142" s="28"/>
      <c r="X142" s="28"/>
      <c r="Y142" s="28"/>
      <c r="Z142" s="28"/>
      <c r="AA142" s="28"/>
      <c r="AB142" s="28"/>
      <c r="AC142" s="28"/>
      <c r="AD142" s="28"/>
      <c r="AE142" s="28"/>
      <c r="AF142" s="28"/>
      <c r="AG142" s="28"/>
      <c r="AH142" s="28"/>
      <c r="AI142" s="28"/>
      <c r="AJ142" s="28"/>
      <c r="AK142" s="28"/>
      <c r="AL142" s="28"/>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row>
    <row r="143" spans="1:114" s="38" customFormat="1" ht="15.75" customHeight="1">
      <c r="A143" s="123">
        <f t="shared" si="11"/>
        <v>119</v>
      </c>
      <c r="B143" s="101">
        <f t="shared" si="11"/>
        <v>6</v>
      </c>
      <c r="C143" s="124" t="s">
        <v>128</v>
      </c>
      <c r="D143" s="103" t="s">
        <v>912</v>
      </c>
      <c r="E143" s="102" t="s">
        <v>596</v>
      </c>
      <c r="F143" s="104">
        <v>13041016.95</v>
      </c>
      <c r="G143" s="105"/>
      <c r="H143" s="106"/>
      <c r="I143" s="107"/>
      <c r="J143" s="26"/>
      <c r="K143" s="43"/>
      <c r="L143" s="27"/>
      <c r="M143" s="27"/>
      <c r="N143" s="27"/>
      <c r="O143" s="27"/>
      <c r="P143" s="27"/>
      <c r="Q143" s="27"/>
      <c r="R143" s="27"/>
      <c r="S143" s="27"/>
      <c r="T143" s="27"/>
      <c r="U143" s="27"/>
      <c r="V143" s="28"/>
      <c r="W143" s="28"/>
      <c r="X143" s="28"/>
      <c r="Y143" s="28"/>
      <c r="Z143" s="28"/>
      <c r="AA143" s="28"/>
      <c r="AB143" s="28"/>
      <c r="AC143" s="28"/>
      <c r="AD143" s="28"/>
      <c r="AE143" s="28"/>
      <c r="AF143" s="28"/>
      <c r="AG143" s="28"/>
      <c r="AH143" s="28"/>
      <c r="AI143" s="28"/>
      <c r="AJ143" s="28"/>
      <c r="AK143" s="28"/>
      <c r="AL143" s="28"/>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row>
    <row r="144" spans="1:114" s="38" customFormat="1" ht="15.75" customHeight="1">
      <c r="A144" s="123">
        <f t="shared" si="11"/>
        <v>120</v>
      </c>
      <c r="B144" s="101">
        <f t="shared" si="11"/>
        <v>7</v>
      </c>
      <c r="C144" s="102" t="s">
        <v>129</v>
      </c>
      <c r="D144" s="103" t="s">
        <v>913</v>
      </c>
      <c r="E144" s="102" t="s">
        <v>595</v>
      </c>
      <c r="F144" s="104">
        <v>5801777</v>
      </c>
      <c r="G144" s="105"/>
      <c r="H144" s="106"/>
      <c r="I144" s="115"/>
      <c r="J144" s="26"/>
      <c r="K144" s="43"/>
      <c r="L144" s="27"/>
      <c r="M144" s="27"/>
      <c r="N144" s="27"/>
      <c r="O144" s="27"/>
      <c r="P144" s="27"/>
      <c r="Q144" s="27"/>
      <c r="R144" s="27"/>
      <c r="S144" s="27"/>
      <c r="T144" s="27"/>
      <c r="U144" s="27"/>
      <c r="V144" s="28"/>
      <c r="W144" s="28"/>
      <c r="X144" s="28"/>
      <c r="Y144" s="28"/>
      <c r="Z144" s="28"/>
      <c r="AA144" s="28"/>
      <c r="AB144" s="28"/>
      <c r="AC144" s="28"/>
      <c r="AD144" s="28"/>
      <c r="AE144" s="28"/>
      <c r="AF144" s="28"/>
      <c r="AG144" s="28"/>
      <c r="AH144" s="28"/>
      <c r="AI144" s="28"/>
      <c r="AJ144" s="28"/>
      <c r="AK144" s="28"/>
      <c r="AL144" s="28"/>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row>
    <row r="145" spans="1:114" s="38" customFormat="1" ht="15.75" customHeight="1">
      <c r="A145" s="123">
        <f t="shared" si="11"/>
        <v>121</v>
      </c>
      <c r="B145" s="101">
        <f t="shared" si="11"/>
        <v>8</v>
      </c>
      <c r="C145" s="102" t="s">
        <v>129</v>
      </c>
      <c r="D145" s="103" t="s">
        <v>130</v>
      </c>
      <c r="E145" s="102" t="s">
        <v>595</v>
      </c>
      <c r="F145" s="104">
        <v>5555000</v>
      </c>
      <c r="G145" s="105"/>
      <c r="H145" s="106"/>
      <c r="I145" s="107"/>
      <c r="J145" s="26"/>
      <c r="K145" s="43"/>
      <c r="L145" s="27"/>
      <c r="M145" s="27"/>
      <c r="N145" s="27"/>
      <c r="O145" s="27"/>
      <c r="P145" s="27"/>
      <c r="Q145" s="27"/>
      <c r="R145" s="27"/>
      <c r="S145" s="27"/>
      <c r="T145" s="27"/>
      <c r="U145" s="27"/>
      <c r="V145" s="28"/>
      <c r="W145" s="28"/>
      <c r="X145" s="28"/>
      <c r="Y145" s="28"/>
      <c r="Z145" s="28"/>
      <c r="AA145" s="28"/>
      <c r="AB145" s="28"/>
      <c r="AC145" s="28"/>
      <c r="AD145" s="28"/>
      <c r="AE145" s="28"/>
      <c r="AF145" s="28"/>
      <c r="AG145" s="28"/>
      <c r="AH145" s="28"/>
      <c r="AI145" s="28"/>
      <c r="AJ145" s="28"/>
      <c r="AK145" s="28"/>
      <c r="AL145" s="28"/>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row>
    <row r="146" spans="1:114" s="38" customFormat="1" ht="15.75" customHeight="1">
      <c r="A146" s="123">
        <f aca="true" t="shared" si="12" ref="A146:B152">A145+1</f>
        <v>122</v>
      </c>
      <c r="B146" s="101">
        <f t="shared" si="12"/>
        <v>9</v>
      </c>
      <c r="C146" s="102" t="s">
        <v>131</v>
      </c>
      <c r="D146" s="103" t="s">
        <v>914</v>
      </c>
      <c r="E146" s="102" t="s">
        <v>595</v>
      </c>
      <c r="F146" s="104">
        <v>870000</v>
      </c>
      <c r="G146" s="105"/>
      <c r="H146" s="106"/>
      <c r="I146" s="107"/>
      <c r="J146" s="26"/>
      <c r="K146" s="43"/>
      <c r="L146" s="27"/>
      <c r="M146" s="27"/>
      <c r="N146" s="27"/>
      <c r="O146" s="27"/>
      <c r="P146" s="27"/>
      <c r="Q146" s="27"/>
      <c r="R146" s="27"/>
      <c r="S146" s="27"/>
      <c r="T146" s="27"/>
      <c r="U146" s="27"/>
      <c r="V146" s="28"/>
      <c r="W146" s="28"/>
      <c r="X146" s="28"/>
      <c r="Y146" s="28"/>
      <c r="Z146" s="28"/>
      <c r="AA146" s="28"/>
      <c r="AB146" s="28"/>
      <c r="AC146" s="28"/>
      <c r="AD146" s="28"/>
      <c r="AE146" s="28"/>
      <c r="AF146" s="28"/>
      <c r="AG146" s="28"/>
      <c r="AH146" s="28"/>
      <c r="AI146" s="28"/>
      <c r="AJ146" s="28"/>
      <c r="AK146" s="28"/>
      <c r="AL146" s="28"/>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row>
    <row r="147" spans="1:114" s="38" customFormat="1" ht="15.75" customHeight="1">
      <c r="A147" s="123">
        <f t="shared" si="12"/>
        <v>123</v>
      </c>
      <c r="B147" s="101">
        <f t="shared" si="12"/>
        <v>10</v>
      </c>
      <c r="C147" s="102" t="s">
        <v>431</v>
      </c>
      <c r="D147" s="103" t="s">
        <v>915</v>
      </c>
      <c r="E147" s="102" t="s">
        <v>597</v>
      </c>
      <c r="F147" s="104">
        <f>105000+840000</f>
        <v>945000</v>
      </c>
      <c r="G147" s="105"/>
      <c r="H147" s="106">
        <v>1900000</v>
      </c>
      <c r="I147" s="107" t="s">
        <v>696</v>
      </c>
      <c r="J147" s="26"/>
      <c r="K147" s="43"/>
      <c r="L147" s="27"/>
      <c r="M147" s="27"/>
      <c r="N147" s="27"/>
      <c r="O147" s="27"/>
      <c r="P147" s="27"/>
      <c r="Q147" s="27"/>
      <c r="R147" s="27"/>
      <c r="S147" s="27"/>
      <c r="T147" s="27"/>
      <c r="U147" s="27"/>
      <c r="V147" s="28"/>
      <c r="W147" s="28"/>
      <c r="X147" s="28"/>
      <c r="Y147" s="28"/>
      <c r="Z147" s="28"/>
      <c r="AA147" s="28"/>
      <c r="AB147" s="28"/>
      <c r="AC147" s="28"/>
      <c r="AD147" s="28"/>
      <c r="AE147" s="28"/>
      <c r="AF147" s="28"/>
      <c r="AG147" s="28"/>
      <c r="AH147" s="28"/>
      <c r="AI147" s="28"/>
      <c r="AJ147" s="28"/>
      <c r="AK147" s="28"/>
      <c r="AL147" s="28"/>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row>
    <row r="148" spans="1:114" s="38" customFormat="1" ht="15.75" customHeight="1">
      <c r="A148" s="123">
        <f t="shared" si="12"/>
        <v>124</v>
      </c>
      <c r="B148" s="101">
        <f t="shared" si="12"/>
        <v>11</v>
      </c>
      <c r="C148" s="102" t="s">
        <v>428</v>
      </c>
      <c r="D148" s="103" t="s">
        <v>464</v>
      </c>
      <c r="E148" s="102" t="s">
        <v>595</v>
      </c>
      <c r="F148" s="104">
        <v>7500010</v>
      </c>
      <c r="G148" s="105"/>
      <c r="H148" s="106"/>
      <c r="I148" s="107"/>
      <c r="J148" s="26"/>
      <c r="K148" s="43"/>
      <c r="L148" s="27"/>
      <c r="M148" s="27"/>
      <c r="N148" s="27"/>
      <c r="O148" s="27"/>
      <c r="P148" s="27"/>
      <c r="Q148" s="27"/>
      <c r="R148" s="27"/>
      <c r="S148" s="27"/>
      <c r="T148" s="27"/>
      <c r="U148" s="27"/>
      <c r="V148" s="28"/>
      <c r="W148" s="28"/>
      <c r="X148" s="28"/>
      <c r="Y148" s="28"/>
      <c r="Z148" s="28"/>
      <c r="AA148" s="28"/>
      <c r="AB148" s="28"/>
      <c r="AC148" s="28"/>
      <c r="AD148" s="28"/>
      <c r="AE148" s="28"/>
      <c r="AF148" s="28"/>
      <c r="AG148" s="28"/>
      <c r="AH148" s="28"/>
      <c r="AI148" s="28"/>
      <c r="AJ148" s="28"/>
      <c r="AK148" s="28"/>
      <c r="AL148" s="28"/>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row>
    <row r="149" spans="1:114" s="38" customFormat="1" ht="15.75" customHeight="1">
      <c r="A149" s="123">
        <f t="shared" si="12"/>
        <v>125</v>
      </c>
      <c r="B149" s="101">
        <f t="shared" si="12"/>
        <v>12</v>
      </c>
      <c r="C149" s="102" t="s">
        <v>428</v>
      </c>
      <c r="D149" s="103" t="s">
        <v>491</v>
      </c>
      <c r="E149" s="102" t="s">
        <v>595</v>
      </c>
      <c r="F149" s="104">
        <v>7040000</v>
      </c>
      <c r="G149" s="105"/>
      <c r="H149" s="106"/>
      <c r="I149" s="107"/>
      <c r="J149" s="26"/>
      <c r="K149" s="43"/>
      <c r="L149" s="27"/>
      <c r="M149" s="27"/>
      <c r="N149" s="27"/>
      <c r="O149" s="27"/>
      <c r="P149" s="27"/>
      <c r="Q149" s="27"/>
      <c r="R149" s="27"/>
      <c r="S149" s="27"/>
      <c r="T149" s="27"/>
      <c r="U149" s="27"/>
      <c r="V149" s="28"/>
      <c r="W149" s="28"/>
      <c r="X149" s="28"/>
      <c r="Y149" s="28"/>
      <c r="Z149" s="28"/>
      <c r="AA149" s="28"/>
      <c r="AB149" s="28"/>
      <c r="AC149" s="28"/>
      <c r="AD149" s="28"/>
      <c r="AE149" s="28"/>
      <c r="AF149" s="28"/>
      <c r="AG149" s="28"/>
      <c r="AH149" s="28"/>
      <c r="AI149" s="28"/>
      <c r="AJ149" s="28"/>
      <c r="AK149" s="28"/>
      <c r="AL149" s="28"/>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row>
    <row r="150" spans="1:114" s="38" customFormat="1" ht="15.75" customHeight="1">
      <c r="A150" s="123">
        <f t="shared" si="12"/>
        <v>126</v>
      </c>
      <c r="B150" s="101">
        <f t="shared" si="12"/>
        <v>13</v>
      </c>
      <c r="C150" s="102" t="s">
        <v>428</v>
      </c>
      <c r="D150" s="103" t="s">
        <v>916</v>
      </c>
      <c r="E150" s="102" t="s">
        <v>596</v>
      </c>
      <c r="F150" s="104">
        <v>737711.86</v>
      </c>
      <c r="G150" s="105"/>
      <c r="H150" s="106"/>
      <c r="I150" s="107"/>
      <c r="J150" s="26"/>
      <c r="K150" s="43"/>
      <c r="L150" s="27"/>
      <c r="M150" s="27"/>
      <c r="N150" s="27"/>
      <c r="O150" s="27"/>
      <c r="P150" s="27"/>
      <c r="Q150" s="27"/>
      <c r="R150" s="27"/>
      <c r="S150" s="27"/>
      <c r="T150" s="27"/>
      <c r="U150" s="27"/>
      <c r="V150" s="28"/>
      <c r="W150" s="28"/>
      <c r="X150" s="28"/>
      <c r="Y150" s="28"/>
      <c r="Z150" s="28"/>
      <c r="AA150" s="28"/>
      <c r="AB150" s="28"/>
      <c r="AC150" s="28"/>
      <c r="AD150" s="28"/>
      <c r="AE150" s="28"/>
      <c r="AF150" s="28"/>
      <c r="AG150" s="28"/>
      <c r="AH150" s="28"/>
      <c r="AI150" s="28"/>
      <c r="AJ150" s="28"/>
      <c r="AK150" s="28"/>
      <c r="AL150" s="28"/>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row>
    <row r="151" spans="1:114" s="45" customFormat="1" ht="15.75" customHeight="1">
      <c r="A151" s="123">
        <f t="shared" si="12"/>
        <v>127</v>
      </c>
      <c r="B151" s="101">
        <f t="shared" si="12"/>
        <v>14</v>
      </c>
      <c r="C151" s="102" t="s">
        <v>434</v>
      </c>
      <c r="D151" s="103" t="s">
        <v>917</v>
      </c>
      <c r="E151" s="102" t="s">
        <v>597</v>
      </c>
      <c r="F151" s="104">
        <v>121521329</v>
      </c>
      <c r="G151" s="105"/>
      <c r="H151" s="106"/>
      <c r="I151" s="107"/>
      <c r="J151" s="26"/>
      <c r="K151" s="43"/>
      <c r="L151" s="27"/>
      <c r="M151" s="27"/>
      <c r="N151" s="27"/>
      <c r="O151" s="27"/>
      <c r="P151" s="27"/>
      <c r="Q151" s="27"/>
      <c r="R151" s="27"/>
      <c r="S151" s="27"/>
      <c r="T151" s="27"/>
      <c r="U151" s="27"/>
      <c r="V151" s="28"/>
      <c r="W151" s="28"/>
      <c r="X151" s="28"/>
      <c r="Y151" s="28"/>
      <c r="Z151" s="28"/>
      <c r="AA151" s="28"/>
      <c r="AB151" s="28"/>
      <c r="AC151" s="28"/>
      <c r="AD151" s="28"/>
      <c r="AE151" s="28"/>
      <c r="AF151" s="28"/>
      <c r="AG151" s="28"/>
      <c r="AH151" s="28"/>
      <c r="AI151" s="28"/>
      <c r="AJ151" s="28"/>
      <c r="AK151" s="28"/>
      <c r="AL151" s="28"/>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row>
    <row r="152" spans="1:114" s="46" customFormat="1" ht="15.75" customHeight="1">
      <c r="A152" s="123">
        <f t="shared" si="12"/>
        <v>128</v>
      </c>
      <c r="B152" s="101">
        <f t="shared" si="12"/>
        <v>15</v>
      </c>
      <c r="C152" s="102" t="s">
        <v>432</v>
      </c>
      <c r="D152" s="103" t="s">
        <v>918</v>
      </c>
      <c r="E152" s="102" t="s">
        <v>597</v>
      </c>
      <c r="F152" s="104">
        <v>127777777</v>
      </c>
      <c r="G152" s="105"/>
      <c r="H152" s="106">
        <v>60000000</v>
      </c>
      <c r="I152" s="107" t="s">
        <v>696</v>
      </c>
      <c r="J152" s="26"/>
      <c r="K152" s="43"/>
      <c r="L152" s="27"/>
      <c r="M152" s="27"/>
      <c r="N152" s="27"/>
      <c r="O152" s="27"/>
      <c r="P152" s="27"/>
      <c r="Q152" s="27"/>
      <c r="R152" s="27"/>
      <c r="S152" s="27"/>
      <c r="T152" s="27"/>
      <c r="U152" s="27"/>
      <c r="V152" s="28"/>
      <c r="W152" s="28"/>
      <c r="X152" s="28"/>
      <c r="Y152" s="28"/>
      <c r="Z152" s="28"/>
      <c r="AA152" s="28"/>
      <c r="AB152" s="28"/>
      <c r="AC152" s="28"/>
      <c r="AD152" s="28"/>
      <c r="AE152" s="28"/>
      <c r="AF152" s="28"/>
      <c r="AG152" s="28"/>
      <c r="AH152" s="28"/>
      <c r="AI152" s="28"/>
      <c r="AJ152" s="28"/>
      <c r="AK152" s="28"/>
      <c r="AL152" s="28"/>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row>
    <row r="153" spans="1:114" s="38" customFormat="1" ht="15.75" customHeight="1">
      <c r="A153" s="123">
        <f aca="true" t="shared" si="13" ref="A153:A163">+A152+1</f>
        <v>129</v>
      </c>
      <c r="B153" s="101">
        <f aca="true" t="shared" si="14" ref="B153:B163">+B152+1</f>
        <v>16</v>
      </c>
      <c r="C153" s="102" t="s">
        <v>439</v>
      </c>
      <c r="D153" s="103" t="s">
        <v>919</v>
      </c>
      <c r="E153" s="102" t="s">
        <v>595</v>
      </c>
      <c r="F153" s="104">
        <v>8766666</v>
      </c>
      <c r="G153" s="105"/>
      <c r="H153" s="106"/>
      <c r="I153" s="107"/>
      <c r="J153" s="26"/>
      <c r="K153" s="43"/>
      <c r="L153" s="27"/>
      <c r="M153" s="27"/>
      <c r="N153" s="27"/>
      <c r="O153" s="27"/>
      <c r="P153" s="27"/>
      <c r="Q153" s="27"/>
      <c r="R153" s="27"/>
      <c r="S153" s="27"/>
      <c r="T153" s="27"/>
      <c r="U153" s="27"/>
      <c r="V153" s="28"/>
      <c r="W153" s="28"/>
      <c r="X153" s="28"/>
      <c r="Y153" s="28"/>
      <c r="Z153" s="28"/>
      <c r="AA153" s="28"/>
      <c r="AB153" s="28"/>
      <c r="AC153" s="28"/>
      <c r="AD153" s="28"/>
      <c r="AE153" s="28"/>
      <c r="AF153" s="28"/>
      <c r="AG153" s="28"/>
      <c r="AH153" s="28"/>
      <c r="AI153" s="28"/>
      <c r="AJ153" s="28"/>
      <c r="AK153" s="28"/>
      <c r="AL153" s="28"/>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row>
    <row r="154" spans="1:114" s="47" customFormat="1" ht="15.75" customHeight="1">
      <c r="A154" s="123">
        <f t="shared" si="13"/>
        <v>130</v>
      </c>
      <c r="B154" s="101">
        <f t="shared" si="14"/>
        <v>17</v>
      </c>
      <c r="C154" s="102" t="s">
        <v>440</v>
      </c>
      <c r="D154" s="103" t="s">
        <v>441</v>
      </c>
      <c r="E154" s="102" t="s">
        <v>596</v>
      </c>
      <c r="F154" s="104">
        <f>4559+20000+35116+3050000</f>
        <v>3109675</v>
      </c>
      <c r="G154" s="105"/>
      <c r="H154" s="106"/>
      <c r="I154" s="115"/>
      <c r="J154" s="26"/>
      <c r="K154" s="43"/>
      <c r="L154" s="27"/>
      <c r="M154" s="27"/>
      <c r="N154" s="27"/>
      <c r="O154" s="27"/>
      <c r="P154" s="27"/>
      <c r="Q154" s="27"/>
      <c r="R154" s="27"/>
      <c r="S154" s="27"/>
      <c r="T154" s="27"/>
      <c r="U154" s="27"/>
      <c r="V154" s="28"/>
      <c r="W154" s="28"/>
      <c r="X154" s="28"/>
      <c r="Y154" s="28"/>
      <c r="Z154" s="28"/>
      <c r="AA154" s="28"/>
      <c r="AB154" s="28"/>
      <c r="AC154" s="28"/>
      <c r="AD154" s="28"/>
      <c r="AE154" s="28"/>
      <c r="AF154" s="28"/>
      <c r="AG154" s="28"/>
      <c r="AH154" s="28"/>
      <c r="AI154" s="28"/>
      <c r="AJ154" s="28"/>
      <c r="AK154" s="28"/>
      <c r="AL154" s="28"/>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row>
    <row r="155" spans="1:114" s="48" customFormat="1" ht="15.75" customHeight="1">
      <c r="A155" s="123">
        <f t="shared" si="13"/>
        <v>131</v>
      </c>
      <c r="B155" s="101">
        <f t="shared" si="14"/>
        <v>18</v>
      </c>
      <c r="C155" s="102" t="s">
        <v>451</v>
      </c>
      <c r="D155" s="103" t="s">
        <v>920</v>
      </c>
      <c r="E155" s="102" t="s">
        <v>3</v>
      </c>
      <c r="F155" s="104">
        <v>22133189.6</v>
      </c>
      <c r="G155" s="105"/>
      <c r="H155" s="106">
        <v>11751403</v>
      </c>
      <c r="I155" s="115" t="s">
        <v>696</v>
      </c>
      <c r="J155" s="26"/>
      <c r="K155" s="43"/>
      <c r="L155" s="27"/>
      <c r="M155" s="27"/>
      <c r="N155" s="27"/>
      <c r="O155" s="27"/>
      <c r="P155" s="27"/>
      <c r="Q155" s="27"/>
      <c r="R155" s="27"/>
      <c r="S155" s="27"/>
      <c r="T155" s="27"/>
      <c r="U155" s="27"/>
      <c r="V155" s="28"/>
      <c r="W155" s="28"/>
      <c r="X155" s="28"/>
      <c r="Y155" s="28"/>
      <c r="Z155" s="28"/>
      <c r="AA155" s="28"/>
      <c r="AB155" s="28"/>
      <c r="AC155" s="28"/>
      <c r="AD155" s="28"/>
      <c r="AE155" s="28"/>
      <c r="AF155" s="28"/>
      <c r="AG155" s="28"/>
      <c r="AH155" s="28"/>
      <c r="AI155" s="28"/>
      <c r="AJ155" s="28"/>
      <c r="AK155" s="28"/>
      <c r="AL155" s="28"/>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row>
    <row r="156" spans="1:114" s="49" customFormat="1" ht="15.75" customHeight="1">
      <c r="A156" s="123">
        <f t="shared" si="13"/>
        <v>132</v>
      </c>
      <c r="B156" s="101">
        <f t="shared" si="14"/>
        <v>19</v>
      </c>
      <c r="C156" s="102" t="s">
        <v>442</v>
      </c>
      <c r="D156" s="103" t="s">
        <v>443</v>
      </c>
      <c r="E156" s="102" t="s">
        <v>596</v>
      </c>
      <c r="F156" s="104">
        <v>279444.87</v>
      </c>
      <c r="G156" s="105"/>
      <c r="H156" s="106"/>
      <c r="I156" s="107"/>
      <c r="J156" s="26"/>
      <c r="K156" s="43"/>
      <c r="L156" s="27"/>
      <c r="M156" s="27"/>
      <c r="N156" s="27"/>
      <c r="O156" s="27"/>
      <c r="P156" s="27"/>
      <c r="Q156" s="27"/>
      <c r="R156" s="27"/>
      <c r="S156" s="27"/>
      <c r="T156" s="27"/>
      <c r="U156" s="27"/>
      <c r="V156" s="28"/>
      <c r="W156" s="28"/>
      <c r="X156" s="28"/>
      <c r="Y156" s="28"/>
      <c r="Z156" s="28"/>
      <c r="AA156" s="28"/>
      <c r="AB156" s="28"/>
      <c r="AC156" s="28"/>
      <c r="AD156" s="28"/>
      <c r="AE156" s="28"/>
      <c r="AF156" s="28"/>
      <c r="AG156" s="28"/>
      <c r="AH156" s="28"/>
      <c r="AI156" s="28"/>
      <c r="AJ156" s="28"/>
      <c r="AK156" s="28"/>
      <c r="AL156" s="28"/>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row>
    <row r="157" spans="1:114" s="49" customFormat="1" ht="15.75" customHeight="1">
      <c r="A157" s="125">
        <f t="shared" si="13"/>
        <v>133</v>
      </c>
      <c r="B157" s="109">
        <f t="shared" si="14"/>
        <v>20</v>
      </c>
      <c r="C157" s="110" t="s">
        <v>456</v>
      </c>
      <c r="D157" s="111" t="s">
        <v>921</v>
      </c>
      <c r="E157" s="110" t="s">
        <v>597</v>
      </c>
      <c r="F157" s="112">
        <f>650005+100000</f>
        <v>750005</v>
      </c>
      <c r="G157" s="113"/>
      <c r="H157" s="106">
        <v>770000</v>
      </c>
      <c r="I157" s="107" t="s">
        <v>696</v>
      </c>
      <c r="J157" s="26"/>
      <c r="K157" s="43"/>
      <c r="L157" s="27"/>
      <c r="M157" s="27"/>
      <c r="N157" s="27"/>
      <c r="O157" s="27"/>
      <c r="P157" s="27"/>
      <c r="Q157" s="27"/>
      <c r="R157" s="27"/>
      <c r="S157" s="27"/>
      <c r="T157" s="27"/>
      <c r="U157" s="27"/>
      <c r="V157" s="28"/>
      <c r="W157" s="28"/>
      <c r="X157" s="28"/>
      <c r="Y157" s="28"/>
      <c r="Z157" s="28"/>
      <c r="AA157" s="28"/>
      <c r="AB157" s="28"/>
      <c r="AC157" s="28"/>
      <c r="AD157" s="28"/>
      <c r="AE157" s="28"/>
      <c r="AF157" s="28"/>
      <c r="AG157" s="28"/>
      <c r="AH157" s="28"/>
      <c r="AI157" s="28"/>
      <c r="AJ157" s="28"/>
      <c r="AK157" s="28"/>
      <c r="AL157" s="28"/>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row>
    <row r="158" spans="1:38" s="29" customFormat="1" ht="15.75" customHeight="1">
      <c r="A158" s="123">
        <f t="shared" si="13"/>
        <v>134</v>
      </c>
      <c r="B158" s="101">
        <f t="shared" si="14"/>
        <v>21</v>
      </c>
      <c r="C158" s="102" t="s">
        <v>452</v>
      </c>
      <c r="D158" s="103" t="s">
        <v>922</v>
      </c>
      <c r="E158" s="102" t="s">
        <v>596</v>
      </c>
      <c r="F158" s="104">
        <v>20634322.03</v>
      </c>
      <c r="G158" s="105"/>
      <c r="H158" s="106"/>
      <c r="I158" s="107"/>
      <c r="J158" s="26"/>
      <c r="K158" s="43"/>
      <c r="L158" s="27"/>
      <c r="M158" s="27"/>
      <c r="N158" s="27"/>
      <c r="O158" s="27"/>
      <c r="P158" s="27"/>
      <c r="Q158" s="27"/>
      <c r="R158" s="27"/>
      <c r="S158" s="27"/>
      <c r="T158" s="27"/>
      <c r="U158" s="27"/>
      <c r="V158" s="28"/>
      <c r="W158" s="28"/>
      <c r="X158" s="28"/>
      <c r="Y158" s="28"/>
      <c r="Z158" s="28"/>
      <c r="AA158" s="28"/>
      <c r="AB158" s="28"/>
      <c r="AC158" s="28"/>
      <c r="AD158" s="28"/>
      <c r="AE158" s="28"/>
      <c r="AF158" s="28"/>
      <c r="AG158" s="28"/>
      <c r="AH158" s="28"/>
      <c r="AI158" s="28"/>
      <c r="AJ158" s="28"/>
      <c r="AK158" s="28"/>
      <c r="AL158" s="28"/>
    </row>
    <row r="159" spans="1:114" s="49" customFormat="1" ht="15.75" customHeight="1">
      <c r="A159" s="123">
        <f t="shared" si="13"/>
        <v>135</v>
      </c>
      <c r="B159" s="101">
        <f t="shared" si="14"/>
        <v>22</v>
      </c>
      <c r="C159" s="102" t="s">
        <v>455</v>
      </c>
      <c r="D159" s="103" t="s">
        <v>453</v>
      </c>
      <c r="E159" s="102" t="s">
        <v>598</v>
      </c>
      <c r="F159" s="104">
        <f>740967.69/2.745</f>
        <v>269933.5846994535</v>
      </c>
      <c r="G159" s="105"/>
      <c r="H159" s="106"/>
      <c r="I159" s="107"/>
      <c r="J159" s="26"/>
      <c r="K159" s="43"/>
      <c r="L159" s="27"/>
      <c r="M159" s="27"/>
      <c r="N159" s="27"/>
      <c r="O159" s="27"/>
      <c r="P159" s="27"/>
      <c r="Q159" s="27"/>
      <c r="R159" s="27"/>
      <c r="S159" s="27"/>
      <c r="T159" s="27"/>
      <c r="U159" s="27"/>
      <c r="V159" s="28"/>
      <c r="W159" s="28"/>
      <c r="X159" s="28"/>
      <c r="Y159" s="28"/>
      <c r="Z159" s="28"/>
      <c r="AA159" s="28"/>
      <c r="AB159" s="28"/>
      <c r="AC159" s="28"/>
      <c r="AD159" s="28"/>
      <c r="AE159" s="28"/>
      <c r="AF159" s="28"/>
      <c r="AG159" s="28"/>
      <c r="AH159" s="28"/>
      <c r="AI159" s="28"/>
      <c r="AJ159" s="28"/>
      <c r="AK159" s="28"/>
      <c r="AL159" s="28"/>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row>
    <row r="160" spans="1:114" s="49" customFormat="1" ht="15.75" customHeight="1">
      <c r="A160" s="123">
        <f t="shared" si="13"/>
        <v>136</v>
      </c>
      <c r="B160" s="101">
        <f t="shared" si="14"/>
        <v>23</v>
      </c>
      <c r="C160" s="102" t="s">
        <v>454</v>
      </c>
      <c r="D160" s="103" t="s">
        <v>923</v>
      </c>
      <c r="E160" s="102" t="s">
        <v>595</v>
      </c>
      <c r="F160" s="104">
        <v>579000</v>
      </c>
      <c r="G160" s="105"/>
      <c r="H160" s="106"/>
      <c r="I160" s="107"/>
      <c r="J160" s="26"/>
      <c r="K160" s="43"/>
      <c r="L160" s="27"/>
      <c r="M160" s="27"/>
      <c r="N160" s="27"/>
      <c r="O160" s="27"/>
      <c r="P160" s="27"/>
      <c r="Q160" s="27"/>
      <c r="R160" s="27"/>
      <c r="S160" s="27"/>
      <c r="T160" s="27"/>
      <c r="U160" s="27"/>
      <c r="V160" s="28"/>
      <c r="W160" s="28"/>
      <c r="X160" s="28"/>
      <c r="Y160" s="28"/>
      <c r="Z160" s="28"/>
      <c r="AA160" s="28"/>
      <c r="AB160" s="28"/>
      <c r="AC160" s="28"/>
      <c r="AD160" s="28"/>
      <c r="AE160" s="28"/>
      <c r="AF160" s="28"/>
      <c r="AG160" s="28"/>
      <c r="AH160" s="28"/>
      <c r="AI160" s="28"/>
      <c r="AJ160" s="28"/>
      <c r="AK160" s="28"/>
      <c r="AL160" s="28"/>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row>
    <row r="161" spans="1:114" s="49" customFormat="1" ht="15.75" customHeight="1">
      <c r="A161" s="123">
        <f t="shared" si="13"/>
        <v>137</v>
      </c>
      <c r="B161" s="101">
        <f t="shared" si="14"/>
        <v>24</v>
      </c>
      <c r="C161" s="102" t="s">
        <v>454</v>
      </c>
      <c r="D161" s="103" t="s">
        <v>924</v>
      </c>
      <c r="E161" s="102" t="s">
        <v>595</v>
      </c>
      <c r="F161" s="104">
        <v>289000</v>
      </c>
      <c r="G161" s="105"/>
      <c r="H161" s="106"/>
      <c r="I161" s="107"/>
      <c r="J161" s="26"/>
      <c r="K161" s="43"/>
      <c r="L161" s="27"/>
      <c r="M161" s="27"/>
      <c r="N161" s="27"/>
      <c r="O161" s="27"/>
      <c r="P161" s="27"/>
      <c r="Q161" s="27"/>
      <c r="R161" s="27"/>
      <c r="S161" s="27"/>
      <c r="T161" s="27"/>
      <c r="U161" s="27"/>
      <c r="V161" s="28"/>
      <c r="W161" s="28"/>
      <c r="X161" s="28"/>
      <c r="Y161" s="28"/>
      <c r="Z161" s="28"/>
      <c r="AA161" s="28"/>
      <c r="AB161" s="28"/>
      <c r="AC161" s="28"/>
      <c r="AD161" s="28"/>
      <c r="AE161" s="28"/>
      <c r="AF161" s="28"/>
      <c r="AG161" s="28"/>
      <c r="AH161" s="28"/>
      <c r="AI161" s="28"/>
      <c r="AJ161" s="28"/>
      <c r="AK161" s="28"/>
      <c r="AL161" s="28"/>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row>
    <row r="162" spans="1:114" s="50" customFormat="1" ht="15.75" customHeight="1">
      <c r="A162" s="123">
        <f t="shared" si="13"/>
        <v>138</v>
      </c>
      <c r="B162" s="101">
        <f t="shared" si="14"/>
        <v>25</v>
      </c>
      <c r="C162" s="102" t="s">
        <v>462</v>
      </c>
      <c r="D162" s="103" t="s">
        <v>485</v>
      </c>
      <c r="E162" s="102" t="s">
        <v>594</v>
      </c>
      <c r="F162" s="104">
        <f>63801584.6/2.7+410996.97</f>
        <v>24041213.488518517</v>
      </c>
      <c r="G162" s="105"/>
      <c r="H162" s="106"/>
      <c r="I162" s="107"/>
      <c r="J162" s="26"/>
      <c r="K162" s="43"/>
      <c r="L162" s="27"/>
      <c r="M162" s="27"/>
      <c r="N162" s="27"/>
      <c r="O162" s="27"/>
      <c r="P162" s="27"/>
      <c r="Q162" s="27"/>
      <c r="R162" s="27"/>
      <c r="S162" s="27"/>
      <c r="T162" s="27"/>
      <c r="U162" s="27"/>
      <c r="V162" s="28"/>
      <c r="W162" s="28"/>
      <c r="X162" s="28"/>
      <c r="Y162" s="28"/>
      <c r="Z162" s="28"/>
      <c r="AA162" s="28"/>
      <c r="AB162" s="28"/>
      <c r="AC162" s="28"/>
      <c r="AD162" s="28"/>
      <c r="AE162" s="28"/>
      <c r="AF162" s="28"/>
      <c r="AG162" s="28"/>
      <c r="AH162" s="28"/>
      <c r="AI162" s="28"/>
      <c r="AJ162" s="28"/>
      <c r="AK162" s="28"/>
      <c r="AL162" s="28"/>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row>
    <row r="163" spans="1:114" s="45" customFormat="1" ht="15.75" customHeight="1">
      <c r="A163" s="123">
        <f t="shared" si="13"/>
        <v>139</v>
      </c>
      <c r="B163" s="101">
        <f t="shared" si="14"/>
        <v>26</v>
      </c>
      <c r="C163" s="102" t="s">
        <v>457</v>
      </c>
      <c r="D163" s="103" t="s">
        <v>458</v>
      </c>
      <c r="E163" s="102" t="s">
        <v>596</v>
      </c>
      <c r="F163" s="104">
        <v>1540001</v>
      </c>
      <c r="G163" s="105"/>
      <c r="H163" s="106"/>
      <c r="I163" s="107"/>
      <c r="J163" s="26"/>
      <c r="K163" s="43"/>
      <c r="L163" s="27"/>
      <c r="M163" s="27"/>
      <c r="N163" s="27"/>
      <c r="O163" s="27"/>
      <c r="P163" s="27"/>
      <c r="Q163" s="27"/>
      <c r="R163" s="27"/>
      <c r="S163" s="27"/>
      <c r="T163" s="27"/>
      <c r="U163" s="27"/>
      <c r="V163" s="28"/>
      <c r="W163" s="28"/>
      <c r="X163" s="28"/>
      <c r="Y163" s="28"/>
      <c r="Z163" s="28"/>
      <c r="AA163" s="28"/>
      <c r="AB163" s="28"/>
      <c r="AC163" s="28"/>
      <c r="AD163" s="28"/>
      <c r="AE163" s="28"/>
      <c r="AF163" s="28"/>
      <c r="AG163" s="28"/>
      <c r="AH163" s="28"/>
      <c r="AI163" s="28"/>
      <c r="AJ163" s="28"/>
      <c r="AK163" s="28"/>
      <c r="AL163" s="28"/>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row>
    <row r="164" spans="1:114" s="38" customFormat="1" ht="26.25" customHeight="1">
      <c r="A164" s="123">
        <f aca="true" t="shared" si="15" ref="A164:B169">A163+1</f>
        <v>140</v>
      </c>
      <c r="B164" s="101">
        <f t="shared" si="15"/>
        <v>27</v>
      </c>
      <c r="C164" s="102" t="s">
        <v>459</v>
      </c>
      <c r="D164" s="103" t="s">
        <v>925</v>
      </c>
      <c r="E164" s="102" t="s">
        <v>594</v>
      </c>
      <c r="F164" s="104">
        <v>32986000</v>
      </c>
      <c r="G164" s="105"/>
      <c r="H164" s="106">
        <v>5554000</v>
      </c>
      <c r="I164" s="115" t="s">
        <v>696</v>
      </c>
      <c r="J164" s="26"/>
      <c r="K164" s="43"/>
      <c r="L164" s="27"/>
      <c r="M164" s="27"/>
      <c r="N164" s="27"/>
      <c r="O164" s="27"/>
      <c r="P164" s="27"/>
      <c r="Q164" s="27"/>
      <c r="R164" s="27"/>
      <c r="S164" s="27"/>
      <c r="T164" s="27"/>
      <c r="U164" s="27"/>
      <c r="V164" s="28"/>
      <c r="W164" s="28"/>
      <c r="X164" s="28"/>
      <c r="Y164" s="28"/>
      <c r="Z164" s="28"/>
      <c r="AA164" s="28"/>
      <c r="AB164" s="28"/>
      <c r="AC164" s="28"/>
      <c r="AD164" s="28"/>
      <c r="AE164" s="28"/>
      <c r="AF164" s="28"/>
      <c r="AG164" s="28"/>
      <c r="AH164" s="28"/>
      <c r="AI164" s="28"/>
      <c r="AJ164" s="28"/>
      <c r="AK164" s="28"/>
      <c r="AL164" s="28"/>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row>
    <row r="165" spans="1:114" s="38" customFormat="1" ht="26.25" customHeight="1">
      <c r="A165" s="123">
        <f t="shared" si="15"/>
        <v>141</v>
      </c>
      <c r="B165" s="101">
        <f t="shared" si="15"/>
        <v>28</v>
      </c>
      <c r="C165" s="102" t="s">
        <v>459</v>
      </c>
      <c r="D165" s="103" t="s">
        <v>926</v>
      </c>
      <c r="E165" s="102" t="s">
        <v>594</v>
      </c>
      <c r="F165" s="104">
        <v>32986000</v>
      </c>
      <c r="G165" s="105"/>
      <c r="H165" s="106">
        <v>6328000</v>
      </c>
      <c r="I165" s="107" t="s">
        <v>696</v>
      </c>
      <c r="J165" s="26"/>
      <c r="K165" s="43"/>
      <c r="L165" s="27"/>
      <c r="M165" s="27"/>
      <c r="N165" s="27"/>
      <c r="O165" s="27"/>
      <c r="P165" s="27"/>
      <c r="Q165" s="27"/>
      <c r="R165" s="27"/>
      <c r="S165" s="27"/>
      <c r="T165" s="27"/>
      <c r="U165" s="27"/>
      <c r="V165" s="28"/>
      <c r="W165" s="28"/>
      <c r="X165" s="28"/>
      <c r="Y165" s="28"/>
      <c r="Z165" s="28"/>
      <c r="AA165" s="28"/>
      <c r="AB165" s="28"/>
      <c r="AC165" s="28"/>
      <c r="AD165" s="28"/>
      <c r="AE165" s="28"/>
      <c r="AF165" s="28"/>
      <c r="AG165" s="28"/>
      <c r="AH165" s="28"/>
      <c r="AI165" s="28"/>
      <c r="AJ165" s="28"/>
      <c r="AK165" s="28"/>
      <c r="AL165" s="28"/>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row>
    <row r="166" spans="1:114" s="38" customFormat="1" ht="26.25" customHeight="1">
      <c r="A166" s="123">
        <f t="shared" si="15"/>
        <v>142</v>
      </c>
      <c r="B166" s="101">
        <f t="shared" si="15"/>
        <v>29</v>
      </c>
      <c r="C166" s="102" t="s">
        <v>781</v>
      </c>
      <c r="D166" s="103" t="s">
        <v>927</v>
      </c>
      <c r="E166" s="102" t="s">
        <v>594</v>
      </c>
      <c r="F166" s="104">
        <v>32986000</v>
      </c>
      <c r="G166" s="105"/>
      <c r="H166" s="106">
        <v>6910000</v>
      </c>
      <c r="I166" s="107" t="s">
        <v>696</v>
      </c>
      <c r="J166" s="26"/>
      <c r="K166" s="43"/>
      <c r="L166" s="27"/>
      <c r="M166" s="27"/>
      <c r="N166" s="27"/>
      <c r="O166" s="27"/>
      <c r="P166" s="27"/>
      <c r="Q166" s="27"/>
      <c r="R166" s="27"/>
      <c r="S166" s="27"/>
      <c r="T166" s="27"/>
      <c r="U166" s="27"/>
      <c r="V166" s="28"/>
      <c r="W166" s="28"/>
      <c r="X166" s="28"/>
      <c r="Y166" s="28"/>
      <c r="Z166" s="28"/>
      <c r="AA166" s="28"/>
      <c r="AB166" s="28"/>
      <c r="AC166" s="28"/>
      <c r="AD166" s="28"/>
      <c r="AE166" s="28"/>
      <c r="AF166" s="28"/>
      <c r="AG166" s="28"/>
      <c r="AH166" s="28"/>
      <c r="AI166" s="28"/>
      <c r="AJ166" s="28"/>
      <c r="AK166" s="28"/>
      <c r="AL166" s="28"/>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row>
    <row r="167" spans="1:114" s="45" customFormat="1" ht="15.75" customHeight="1">
      <c r="A167" s="123">
        <f t="shared" si="15"/>
        <v>143</v>
      </c>
      <c r="B167" s="101">
        <f t="shared" si="15"/>
        <v>30</v>
      </c>
      <c r="C167" s="102" t="s">
        <v>461</v>
      </c>
      <c r="D167" s="103" t="s">
        <v>928</v>
      </c>
      <c r="E167" s="102" t="s">
        <v>595</v>
      </c>
      <c r="F167" s="104">
        <v>6875300</v>
      </c>
      <c r="G167" s="105"/>
      <c r="H167" s="106"/>
      <c r="I167" s="107"/>
      <c r="J167" s="26"/>
      <c r="K167" s="43"/>
      <c r="L167" s="27"/>
      <c r="M167" s="27"/>
      <c r="N167" s="27"/>
      <c r="O167" s="27"/>
      <c r="P167" s="27"/>
      <c r="Q167" s="27"/>
      <c r="R167" s="27"/>
      <c r="S167" s="27"/>
      <c r="T167" s="27"/>
      <c r="U167" s="27"/>
      <c r="V167" s="28"/>
      <c r="W167" s="28"/>
      <c r="X167" s="28"/>
      <c r="Y167" s="28"/>
      <c r="Z167" s="28"/>
      <c r="AA167" s="28"/>
      <c r="AB167" s="28"/>
      <c r="AC167" s="28"/>
      <c r="AD167" s="28"/>
      <c r="AE167" s="28"/>
      <c r="AF167" s="28"/>
      <c r="AG167" s="28"/>
      <c r="AH167" s="28"/>
      <c r="AI167" s="28"/>
      <c r="AJ167" s="28"/>
      <c r="AK167" s="28"/>
      <c r="AL167" s="28"/>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row>
    <row r="168" spans="1:114" s="45" customFormat="1" ht="15.75" customHeight="1">
      <c r="A168" s="123">
        <f t="shared" si="15"/>
        <v>144</v>
      </c>
      <c r="B168" s="101">
        <f t="shared" si="15"/>
        <v>31</v>
      </c>
      <c r="C168" s="102" t="s">
        <v>461</v>
      </c>
      <c r="D168" s="103" t="s">
        <v>929</v>
      </c>
      <c r="E168" s="102" t="s">
        <v>595</v>
      </c>
      <c r="F168" s="104">
        <v>4502999.99</v>
      </c>
      <c r="G168" s="105"/>
      <c r="H168" s="106"/>
      <c r="I168" s="107"/>
      <c r="J168" s="26"/>
      <c r="K168" s="43"/>
      <c r="L168" s="27"/>
      <c r="M168" s="27"/>
      <c r="N168" s="27"/>
      <c r="O168" s="27"/>
      <c r="P168" s="27"/>
      <c r="Q168" s="27"/>
      <c r="R168" s="27"/>
      <c r="S168" s="27"/>
      <c r="T168" s="27"/>
      <c r="U168" s="27"/>
      <c r="V168" s="28"/>
      <c r="W168" s="28"/>
      <c r="X168" s="28"/>
      <c r="Y168" s="28"/>
      <c r="Z168" s="28"/>
      <c r="AA168" s="28"/>
      <c r="AB168" s="28"/>
      <c r="AC168" s="28"/>
      <c r="AD168" s="28"/>
      <c r="AE168" s="28"/>
      <c r="AF168" s="28"/>
      <c r="AG168" s="28"/>
      <c r="AH168" s="28"/>
      <c r="AI168" s="28"/>
      <c r="AJ168" s="28"/>
      <c r="AK168" s="28"/>
      <c r="AL168" s="28"/>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row>
    <row r="169" spans="1:114" s="44" customFormat="1" ht="15.75" customHeight="1">
      <c r="A169" s="126">
        <f t="shared" si="15"/>
        <v>145</v>
      </c>
      <c r="B169" s="127">
        <f t="shared" si="15"/>
        <v>32</v>
      </c>
      <c r="C169" s="128" t="s">
        <v>461</v>
      </c>
      <c r="D169" s="129" t="s">
        <v>930</v>
      </c>
      <c r="E169" s="128" t="s">
        <v>595</v>
      </c>
      <c r="F169" s="130">
        <v>3300000</v>
      </c>
      <c r="G169" s="131"/>
      <c r="H169" s="132"/>
      <c r="I169" s="134"/>
      <c r="J169" s="26"/>
      <c r="K169" s="43"/>
      <c r="L169" s="27"/>
      <c r="M169" s="27"/>
      <c r="N169" s="27"/>
      <c r="O169" s="27"/>
      <c r="P169" s="27"/>
      <c r="Q169" s="27"/>
      <c r="R169" s="27"/>
      <c r="S169" s="27"/>
      <c r="T169" s="27"/>
      <c r="U169" s="27"/>
      <c r="V169" s="28"/>
      <c r="W169" s="28"/>
      <c r="X169" s="28"/>
      <c r="Y169" s="28"/>
      <c r="Z169" s="28"/>
      <c r="AA169" s="28"/>
      <c r="AB169" s="28"/>
      <c r="AC169" s="28"/>
      <c r="AD169" s="28"/>
      <c r="AE169" s="28"/>
      <c r="AF169" s="28"/>
      <c r="AG169" s="28"/>
      <c r="AH169" s="28"/>
      <c r="AI169" s="28"/>
      <c r="AJ169" s="28"/>
      <c r="AK169" s="28"/>
      <c r="AL169" s="28"/>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row>
    <row r="170" spans="1:114" s="30" customFormat="1" ht="15.75" customHeight="1">
      <c r="A170" s="282" t="s">
        <v>178</v>
      </c>
      <c r="B170" s="283"/>
      <c r="C170" s="283"/>
      <c r="D170" s="283"/>
      <c r="E170" s="22"/>
      <c r="F170" s="23">
        <f>SUM(F138:F169)</f>
        <v>539103691.803218</v>
      </c>
      <c r="G170" s="23"/>
      <c r="H170" s="24">
        <f>SUM(H138:H169)</f>
        <v>229054903</v>
      </c>
      <c r="I170" s="25"/>
      <c r="J170" s="26"/>
      <c r="K170" s="27"/>
      <c r="L170" s="27"/>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row>
    <row r="171" spans="1:114" s="38" customFormat="1" ht="15.75" customHeight="1">
      <c r="A171" s="291">
        <v>1998</v>
      </c>
      <c r="B171" s="292"/>
      <c r="C171" s="292"/>
      <c r="D171" s="292"/>
      <c r="E171" s="292"/>
      <c r="F171" s="292"/>
      <c r="G171" s="292"/>
      <c r="H171" s="292"/>
      <c r="I171" s="293"/>
      <c r="J171" s="26"/>
      <c r="K171" s="43"/>
      <c r="L171" s="27"/>
      <c r="M171" s="27"/>
      <c r="N171" s="27"/>
      <c r="O171" s="27"/>
      <c r="P171" s="27"/>
      <c r="Q171" s="27"/>
      <c r="R171" s="27"/>
      <c r="S171" s="27"/>
      <c r="T171" s="27"/>
      <c r="U171" s="27"/>
      <c r="V171" s="28"/>
      <c r="W171" s="28"/>
      <c r="X171" s="28"/>
      <c r="Y171" s="28"/>
      <c r="Z171" s="28"/>
      <c r="AA171" s="28"/>
      <c r="AB171" s="28"/>
      <c r="AC171" s="28"/>
      <c r="AD171" s="28"/>
      <c r="AE171" s="28"/>
      <c r="AF171" s="28"/>
      <c r="AG171" s="28"/>
      <c r="AH171" s="28"/>
      <c r="AI171" s="28"/>
      <c r="AJ171" s="28"/>
      <c r="AK171" s="28"/>
      <c r="AL171" s="28"/>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row>
    <row r="172" spans="1:114" s="38" customFormat="1" ht="15.75" customHeight="1">
      <c r="A172" s="75">
        <f>A169+1</f>
        <v>146</v>
      </c>
      <c r="B172" s="76">
        <v>1</v>
      </c>
      <c r="C172" s="77" t="s">
        <v>474</v>
      </c>
      <c r="D172" s="78" t="s">
        <v>931</v>
      </c>
      <c r="E172" s="77" t="s">
        <v>467</v>
      </c>
      <c r="F172" s="98">
        <v>774218</v>
      </c>
      <c r="G172" s="99"/>
      <c r="H172" s="79"/>
      <c r="I172" s="81"/>
      <c r="J172" s="26"/>
      <c r="K172" s="43"/>
      <c r="L172" s="27"/>
      <c r="M172" s="27"/>
      <c r="N172" s="27"/>
      <c r="O172" s="27"/>
      <c r="P172" s="27"/>
      <c r="Q172" s="27"/>
      <c r="R172" s="27"/>
      <c r="S172" s="27"/>
      <c r="T172" s="27"/>
      <c r="U172" s="27"/>
      <c r="V172" s="28"/>
      <c r="W172" s="28"/>
      <c r="X172" s="28"/>
      <c r="Y172" s="28"/>
      <c r="Z172" s="28"/>
      <c r="AA172" s="28"/>
      <c r="AB172" s="28"/>
      <c r="AC172" s="28"/>
      <c r="AD172" s="28"/>
      <c r="AE172" s="28"/>
      <c r="AF172" s="28"/>
      <c r="AG172" s="28"/>
      <c r="AH172" s="28"/>
      <c r="AI172" s="28"/>
      <c r="AJ172" s="28"/>
      <c r="AK172" s="28"/>
      <c r="AL172" s="28"/>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row>
    <row r="173" spans="1:114" s="38" customFormat="1" ht="15.75" customHeight="1">
      <c r="A173" s="123">
        <f aca="true" t="shared" si="16" ref="A173:A194">+A172+1</f>
        <v>147</v>
      </c>
      <c r="B173" s="101">
        <v>2</v>
      </c>
      <c r="C173" s="102" t="s">
        <v>475</v>
      </c>
      <c r="D173" s="103" t="s">
        <v>476</v>
      </c>
      <c r="E173" s="102" t="s">
        <v>596</v>
      </c>
      <c r="F173" s="104">
        <v>15215000</v>
      </c>
      <c r="G173" s="105"/>
      <c r="H173" s="106">
        <v>2000000</v>
      </c>
      <c r="I173" s="107" t="s">
        <v>696</v>
      </c>
      <c r="J173" s="26"/>
      <c r="K173" s="43"/>
      <c r="L173" s="27"/>
      <c r="M173" s="27"/>
      <c r="N173" s="27"/>
      <c r="O173" s="27"/>
      <c r="P173" s="27"/>
      <c r="Q173" s="27"/>
      <c r="R173" s="27"/>
      <c r="S173" s="27"/>
      <c r="T173" s="27"/>
      <c r="U173" s="27"/>
      <c r="V173" s="28"/>
      <c r="W173" s="28"/>
      <c r="X173" s="28"/>
      <c r="Y173" s="28"/>
      <c r="Z173" s="28"/>
      <c r="AA173" s="28"/>
      <c r="AB173" s="28"/>
      <c r="AC173" s="28"/>
      <c r="AD173" s="28"/>
      <c r="AE173" s="28"/>
      <c r="AF173" s="28"/>
      <c r="AG173" s="28"/>
      <c r="AH173" s="28"/>
      <c r="AI173" s="28"/>
      <c r="AJ173" s="28"/>
      <c r="AK173" s="28"/>
      <c r="AL173" s="28"/>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row>
    <row r="174" spans="1:114" s="38" customFormat="1" ht="15.75" customHeight="1">
      <c r="A174" s="123">
        <f t="shared" si="16"/>
        <v>148</v>
      </c>
      <c r="B174" s="101">
        <v>3</v>
      </c>
      <c r="C174" s="102" t="s">
        <v>490</v>
      </c>
      <c r="D174" s="103" t="s">
        <v>932</v>
      </c>
      <c r="E174" s="102" t="s">
        <v>595</v>
      </c>
      <c r="F174" s="104">
        <v>2400000</v>
      </c>
      <c r="G174" s="105"/>
      <c r="H174" s="106"/>
      <c r="I174" s="107"/>
      <c r="J174" s="26"/>
      <c r="K174" s="43"/>
      <c r="L174" s="27"/>
      <c r="M174" s="27"/>
      <c r="N174" s="27"/>
      <c r="O174" s="27"/>
      <c r="P174" s="27"/>
      <c r="Q174" s="27"/>
      <c r="R174" s="27"/>
      <c r="S174" s="27"/>
      <c r="T174" s="27"/>
      <c r="U174" s="27"/>
      <c r="V174" s="28"/>
      <c r="W174" s="28"/>
      <c r="X174" s="28"/>
      <c r="Y174" s="28"/>
      <c r="Z174" s="28"/>
      <c r="AA174" s="28"/>
      <c r="AB174" s="28"/>
      <c r="AC174" s="28"/>
      <c r="AD174" s="28"/>
      <c r="AE174" s="28"/>
      <c r="AF174" s="28"/>
      <c r="AG174" s="28"/>
      <c r="AH174" s="28"/>
      <c r="AI174" s="28"/>
      <c r="AJ174" s="28"/>
      <c r="AK174" s="28"/>
      <c r="AL174" s="28"/>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row>
    <row r="175" spans="1:115" s="52" customFormat="1" ht="15.75" customHeight="1">
      <c r="A175" s="123">
        <f t="shared" si="16"/>
        <v>149</v>
      </c>
      <c r="B175" s="101">
        <v>4</v>
      </c>
      <c r="C175" s="102" t="s">
        <v>492</v>
      </c>
      <c r="D175" s="103" t="s">
        <v>933</v>
      </c>
      <c r="E175" s="102" t="s">
        <v>3</v>
      </c>
      <c r="F175" s="104">
        <v>90001</v>
      </c>
      <c r="G175" s="105"/>
      <c r="H175" s="106">
        <v>90000</v>
      </c>
      <c r="I175" s="115" t="s">
        <v>696</v>
      </c>
      <c r="J175" s="26"/>
      <c r="K175" s="43"/>
      <c r="L175" s="27"/>
      <c r="M175" s="27"/>
      <c r="N175" s="27"/>
      <c r="O175" s="27"/>
      <c r="P175" s="27"/>
      <c r="Q175" s="27"/>
      <c r="R175" s="27"/>
      <c r="S175" s="27"/>
      <c r="T175" s="27"/>
      <c r="U175" s="27"/>
      <c r="V175" s="28"/>
      <c r="W175" s="28"/>
      <c r="X175" s="28"/>
      <c r="Y175" s="28"/>
      <c r="Z175" s="28"/>
      <c r="AA175" s="28"/>
      <c r="AB175" s="28"/>
      <c r="AC175" s="28"/>
      <c r="AD175" s="28"/>
      <c r="AE175" s="28"/>
      <c r="AF175" s="28"/>
      <c r="AG175" s="28"/>
      <c r="AH175" s="28"/>
      <c r="AI175" s="28"/>
      <c r="AJ175" s="28"/>
      <c r="AK175" s="28"/>
      <c r="AL175" s="28"/>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51"/>
    </row>
    <row r="176" spans="1:115" s="52" customFormat="1" ht="15.75" customHeight="1">
      <c r="A176" s="123">
        <f t="shared" si="16"/>
        <v>150</v>
      </c>
      <c r="B176" s="101">
        <v>5</v>
      </c>
      <c r="C176" s="102" t="s">
        <v>502</v>
      </c>
      <c r="D176" s="103" t="s">
        <v>518</v>
      </c>
      <c r="E176" s="102" t="s">
        <v>3</v>
      </c>
      <c r="F176" s="104">
        <v>500299</v>
      </c>
      <c r="G176" s="105"/>
      <c r="H176" s="106">
        <v>10000300</v>
      </c>
      <c r="I176" s="107" t="s">
        <v>696</v>
      </c>
      <c r="J176" s="26"/>
      <c r="K176" s="43"/>
      <c r="L176" s="27"/>
      <c r="M176" s="27"/>
      <c r="N176" s="27"/>
      <c r="O176" s="27"/>
      <c r="P176" s="27"/>
      <c r="Q176" s="27"/>
      <c r="R176" s="27"/>
      <c r="S176" s="27"/>
      <c r="T176" s="27"/>
      <c r="U176" s="27"/>
      <c r="V176" s="28"/>
      <c r="W176" s="28"/>
      <c r="X176" s="28"/>
      <c r="Y176" s="28"/>
      <c r="Z176" s="28"/>
      <c r="AA176" s="28"/>
      <c r="AB176" s="28"/>
      <c r="AC176" s="28"/>
      <c r="AD176" s="28"/>
      <c r="AE176" s="28"/>
      <c r="AF176" s="28"/>
      <c r="AG176" s="28"/>
      <c r="AH176" s="28"/>
      <c r="AI176" s="28"/>
      <c r="AJ176" s="28"/>
      <c r="AK176" s="28"/>
      <c r="AL176" s="28"/>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51"/>
    </row>
    <row r="177" spans="1:114" s="50" customFormat="1" ht="15.75" customHeight="1">
      <c r="A177" s="123">
        <f t="shared" si="16"/>
        <v>151</v>
      </c>
      <c r="B177" s="101">
        <v>6</v>
      </c>
      <c r="C177" s="124" t="s">
        <v>503</v>
      </c>
      <c r="D177" s="103" t="s">
        <v>504</v>
      </c>
      <c r="E177" s="102" t="s">
        <v>597</v>
      </c>
      <c r="F177" s="104">
        <v>7500001</v>
      </c>
      <c r="G177" s="105"/>
      <c r="H177" s="106"/>
      <c r="I177" s="107"/>
      <c r="J177" s="26"/>
      <c r="K177" s="43"/>
      <c r="L177" s="27"/>
      <c r="M177" s="27"/>
      <c r="N177" s="27"/>
      <c r="O177" s="27"/>
      <c r="P177" s="27"/>
      <c r="Q177" s="27"/>
      <c r="R177" s="27"/>
      <c r="S177" s="27"/>
      <c r="T177" s="27"/>
      <c r="U177" s="27"/>
      <c r="V177" s="28"/>
      <c r="W177" s="28"/>
      <c r="X177" s="28"/>
      <c r="Y177" s="28"/>
      <c r="Z177" s="28"/>
      <c r="AA177" s="28"/>
      <c r="AB177" s="28"/>
      <c r="AC177" s="28"/>
      <c r="AD177" s="28"/>
      <c r="AE177" s="28"/>
      <c r="AF177" s="28"/>
      <c r="AG177" s="28"/>
      <c r="AH177" s="28"/>
      <c r="AI177" s="28"/>
      <c r="AJ177" s="28"/>
      <c r="AK177" s="28"/>
      <c r="AL177" s="28"/>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row>
    <row r="178" spans="1:114" s="50" customFormat="1" ht="15.75" customHeight="1">
      <c r="A178" s="123">
        <f t="shared" si="16"/>
        <v>152</v>
      </c>
      <c r="B178" s="101">
        <v>7</v>
      </c>
      <c r="C178" s="102" t="s">
        <v>505</v>
      </c>
      <c r="D178" s="103" t="s">
        <v>188</v>
      </c>
      <c r="E178" s="102" t="s">
        <v>3</v>
      </c>
      <c r="F178" s="104">
        <v>1223447.5</v>
      </c>
      <c r="G178" s="105"/>
      <c r="H178" s="106">
        <v>959840</v>
      </c>
      <c r="I178" s="115" t="s">
        <v>696</v>
      </c>
      <c r="J178" s="26"/>
      <c r="K178" s="43"/>
      <c r="L178" s="27"/>
      <c r="M178" s="27"/>
      <c r="N178" s="27"/>
      <c r="O178" s="27"/>
      <c r="P178" s="27"/>
      <c r="Q178" s="27"/>
      <c r="R178" s="27"/>
      <c r="S178" s="27"/>
      <c r="T178" s="27"/>
      <c r="U178" s="27"/>
      <c r="V178" s="28"/>
      <c r="W178" s="28"/>
      <c r="X178" s="28"/>
      <c r="Y178" s="28"/>
      <c r="Z178" s="28"/>
      <c r="AA178" s="28"/>
      <c r="AB178" s="28"/>
      <c r="AC178" s="28"/>
      <c r="AD178" s="28"/>
      <c r="AE178" s="28"/>
      <c r="AF178" s="28"/>
      <c r="AG178" s="28"/>
      <c r="AH178" s="28"/>
      <c r="AI178" s="28"/>
      <c r="AJ178" s="28"/>
      <c r="AK178" s="28"/>
      <c r="AL178" s="28"/>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row>
    <row r="179" spans="1:114" s="49" customFormat="1" ht="15.75" customHeight="1">
      <c r="A179" s="123">
        <f t="shared" si="16"/>
        <v>153</v>
      </c>
      <c r="B179" s="101">
        <v>8</v>
      </c>
      <c r="C179" s="135">
        <v>35977</v>
      </c>
      <c r="D179" s="103" t="s">
        <v>934</v>
      </c>
      <c r="E179" s="102" t="s">
        <v>670</v>
      </c>
      <c r="F179" s="104">
        <v>17166309.62</v>
      </c>
      <c r="G179" s="105"/>
      <c r="H179" s="106"/>
      <c r="I179" s="107"/>
      <c r="J179" s="26"/>
      <c r="K179" s="43"/>
      <c r="L179" s="27"/>
      <c r="M179" s="27"/>
      <c r="N179" s="27"/>
      <c r="O179" s="27"/>
      <c r="P179" s="27"/>
      <c r="Q179" s="27"/>
      <c r="R179" s="27"/>
      <c r="S179" s="27"/>
      <c r="T179" s="27"/>
      <c r="U179" s="27"/>
      <c r="V179" s="28"/>
      <c r="W179" s="28"/>
      <c r="X179" s="28"/>
      <c r="Y179" s="28"/>
      <c r="Z179" s="28"/>
      <c r="AA179" s="28"/>
      <c r="AB179" s="28"/>
      <c r="AC179" s="28"/>
      <c r="AD179" s="28"/>
      <c r="AE179" s="28"/>
      <c r="AF179" s="28"/>
      <c r="AG179" s="28"/>
      <c r="AH179" s="28"/>
      <c r="AI179" s="28"/>
      <c r="AJ179" s="28"/>
      <c r="AK179" s="28"/>
      <c r="AL179" s="28"/>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row>
    <row r="180" spans="1:114" s="49" customFormat="1" ht="15.75" customHeight="1">
      <c r="A180" s="123">
        <f t="shared" si="16"/>
        <v>154</v>
      </c>
      <c r="B180" s="101">
        <v>9</v>
      </c>
      <c r="C180" s="135">
        <v>35977</v>
      </c>
      <c r="D180" s="103" t="s">
        <v>935</v>
      </c>
      <c r="E180" s="102" t="s">
        <v>670</v>
      </c>
      <c r="F180" s="104">
        <f>49885002.3/2.98</f>
        <v>16739933.65771812</v>
      </c>
      <c r="G180" s="105"/>
      <c r="H180" s="106"/>
      <c r="I180" s="107"/>
      <c r="J180" s="26"/>
      <c r="K180" s="43"/>
      <c r="L180" s="27"/>
      <c r="M180" s="27"/>
      <c r="N180" s="27"/>
      <c r="O180" s="27"/>
      <c r="P180" s="27"/>
      <c r="Q180" s="27"/>
      <c r="R180" s="27"/>
      <c r="S180" s="27"/>
      <c r="T180" s="27"/>
      <c r="U180" s="27"/>
      <c r="V180" s="28"/>
      <c r="W180" s="28"/>
      <c r="X180" s="28"/>
      <c r="Y180" s="28"/>
      <c r="Z180" s="28"/>
      <c r="AA180" s="28"/>
      <c r="AB180" s="28"/>
      <c r="AC180" s="28"/>
      <c r="AD180" s="28"/>
      <c r="AE180" s="28"/>
      <c r="AF180" s="28"/>
      <c r="AG180" s="28"/>
      <c r="AH180" s="28"/>
      <c r="AI180" s="28"/>
      <c r="AJ180" s="28"/>
      <c r="AK180" s="28"/>
      <c r="AL180" s="28"/>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row>
    <row r="181" spans="1:114" s="50" customFormat="1" ht="15.75" customHeight="1">
      <c r="A181" s="123">
        <f t="shared" si="16"/>
        <v>155</v>
      </c>
      <c r="B181" s="101">
        <v>10</v>
      </c>
      <c r="C181" s="135">
        <v>35977</v>
      </c>
      <c r="D181" s="103" t="s">
        <v>936</v>
      </c>
      <c r="E181" s="102" t="s">
        <v>670</v>
      </c>
      <c r="F181" s="104">
        <f>94781648.63/2.98</f>
        <v>31805922.359060403</v>
      </c>
      <c r="G181" s="105"/>
      <c r="H181" s="106"/>
      <c r="I181" s="107"/>
      <c r="J181" s="26"/>
      <c r="K181" s="43"/>
      <c r="L181" s="27"/>
      <c r="M181" s="27"/>
      <c r="N181" s="27"/>
      <c r="O181" s="27"/>
      <c r="P181" s="27"/>
      <c r="Q181" s="27"/>
      <c r="R181" s="27"/>
      <c r="S181" s="27"/>
      <c r="T181" s="27"/>
      <c r="U181" s="27"/>
      <c r="V181" s="28"/>
      <c r="W181" s="28"/>
      <c r="X181" s="28"/>
      <c r="Y181" s="28"/>
      <c r="Z181" s="28"/>
      <c r="AA181" s="28"/>
      <c r="AB181" s="28"/>
      <c r="AC181" s="28"/>
      <c r="AD181" s="28"/>
      <c r="AE181" s="28"/>
      <c r="AF181" s="28"/>
      <c r="AG181" s="28"/>
      <c r="AH181" s="28"/>
      <c r="AI181" s="28"/>
      <c r="AJ181" s="28"/>
      <c r="AK181" s="28"/>
      <c r="AL181" s="28"/>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row>
    <row r="182" spans="1:114" s="50" customFormat="1" ht="15.75" customHeight="1">
      <c r="A182" s="123">
        <f t="shared" si="16"/>
        <v>156</v>
      </c>
      <c r="B182" s="101">
        <v>11</v>
      </c>
      <c r="C182" s="102" t="s">
        <v>513</v>
      </c>
      <c r="D182" s="103" t="s">
        <v>514</v>
      </c>
      <c r="E182" s="102" t="s">
        <v>597</v>
      </c>
      <c r="F182" s="104">
        <v>951000</v>
      </c>
      <c r="G182" s="105"/>
      <c r="H182" s="106"/>
      <c r="I182" s="107"/>
      <c r="J182" s="26"/>
      <c r="K182" s="43"/>
      <c r="L182" s="27"/>
      <c r="M182" s="27"/>
      <c r="N182" s="27"/>
      <c r="O182" s="27"/>
      <c r="P182" s="27"/>
      <c r="Q182" s="27"/>
      <c r="R182" s="27"/>
      <c r="S182" s="27"/>
      <c r="T182" s="27"/>
      <c r="U182" s="27"/>
      <c r="V182" s="28"/>
      <c r="W182" s="28"/>
      <c r="X182" s="28"/>
      <c r="Y182" s="28"/>
      <c r="Z182" s="28"/>
      <c r="AA182" s="28"/>
      <c r="AB182" s="28"/>
      <c r="AC182" s="28"/>
      <c r="AD182" s="28"/>
      <c r="AE182" s="28"/>
      <c r="AF182" s="28"/>
      <c r="AG182" s="28"/>
      <c r="AH182" s="28"/>
      <c r="AI182" s="28"/>
      <c r="AJ182" s="28"/>
      <c r="AK182" s="28"/>
      <c r="AL182" s="28"/>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row>
    <row r="183" spans="1:114" s="49" customFormat="1" ht="15.75" customHeight="1">
      <c r="A183" s="123">
        <f t="shared" si="16"/>
        <v>157</v>
      </c>
      <c r="B183" s="101">
        <v>12</v>
      </c>
      <c r="C183" s="102" t="s">
        <v>516</v>
      </c>
      <c r="D183" s="103" t="s">
        <v>519</v>
      </c>
      <c r="E183" s="102" t="s">
        <v>3</v>
      </c>
      <c r="F183" s="104">
        <v>1583499</v>
      </c>
      <c r="G183" s="105"/>
      <c r="H183" s="106">
        <f>1952990+368060/2+113320/2</f>
        <v>2193680</v>
      </c>
      <c r="I183" s="107" t="s">
        <v>696</v>
      </c>
      <c r="J183" s="26"/>
      <c r="K183" s="43"/>
      <c r="L183" s="27"/>
      <c r="M183" s="27"/>
      <c r="N183" s="27"/>
      <c r="O183" s="27"/>
      <c r="P183" s="27"/>
      <c r="Q183" s="27"/>
      <c r="R183" s="27"/>
      <c r="S183" s="27"/>
      <c r="T183" s="27"/>
      <c r="U183" s="27"/>
      <c r="V183" s="28"/>
      <c r="W183" s="28"/>
      <c r="X183" s="28"/>
      <c r="Y183" s="28"/>
      <c r="Z183" s="28"/>
      <c r="AA183" s="28"/>
      <c r="AB183" s="28"/>
      <c r="AC183" s="28"/>
      <c r="AD183" s="28"/>
      <c r="AE183" s="28"/>
      <c r="AF183" s="28"/>
      <c r="AG183" s="28"/>
      <c r="AH183" s="28"/>
      <c r="AI183" s="28"/>
      <c r="AJ183" s="28"/>
      <c r="AK183" s="28"/>
      <c r="AL183" s="28"/>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row>
    <row r="184" spans="1:114" s="49" customFormat="1" ht="15.75" customHeight="1">
      <c r="A184" s="123">
        <f t="shared" si="16"/>
        <v>158</v>
      </c>
      <c r="B184" s="101">
        <v>13</v>
      </c>
      <c r="C184" s="102" t="s">
        <v>517</v>
      </c>
      <c r="D184" s="103" t="s">
        <v>520</v>
      </c>
      <c r="E184" s="102" t="s">
        <v>3</v>
      </c>
      <c r="F184" s="104">
        <v>1005000</v>
      </c>
      <c r="G184" s="105"/>
      <c r="H184" s="106">
        <f>897000*2</f>
        <v>1794000</v>
      </c>
      <c r="I184" s="107" t="s">
        <v>696</v>
      </c>
      <c r="J184" s="26"/>
      <c r="K184" s="43"/>
      <c r="L184" s="27"/>
      <c r="M184" s="27"/>
      <c r="N184" s="27"/>
      <c r="O184" s="27"/>
      <c r="P184" s="27"/>
      <c r="Q184" s="27"/>
      <c r="R184" s="27"/>
      <c r="S184" s="27"/>
      <c r="T184" s="27"/>
      <c r="U184" s="27"/>
      <c r="V184" s="28"/>
      <c r="W184" s="28"/>
      <c r="X184" s="28"/>
      <c r="Y184" s="28"/>
      <c r="Z184" s="28"/>
      <c r="AA184" s="28"/>
      <c r="AB184" s="28"/>
      <c r="AC184" s="28"/>
      <c r="AD184" s="28"/>
      <c r="AE184" s="28"/>
      <c r="AF184" s="28"/>
      <c r="AG184" s="28"/>
      <c r="AH184" s="28"/>
      <c r="AI184" s="28"/>
      <c r="AJ184" s="28"/>
      <c r="AK184" s="28"/>
      <c r="AL184" s="28"/>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row>
    <row r="185" spans="1:114" s="49" customFormat="1" ht="15.75" customHeight="1">
      <c r="A185" s="123">
        <f t="shared" si="16"/>
        <v>159</v>
      </c>
      <c r="B185" s="101">
        <v>14</v>
      </c>
      <c r="C185" s="102" t="s">
        <v>522</v>
      </c>
      <c r="D185" s="103" t="s">
        <v>937</v>
      </c>
      <c r="E185" s="102" t="s">
        <v>478</v>
      </c>
      <c r="F185" s="104">
        <f>300538.87+2620000</f>
        <v>2920538.87</v>
      </c>
      <c r="G185" s="105"/>
      <c r="H185" s="106">
        <v>1446000</v>
      </c>
      <c r="I185" s="107" t="s">
        <v>696</v>
      </c>
      <c r="J185" s="26"/>
      <c r="K185" s="43"/>
      <c r="L185" s="27"/>
      <c r="M185" s="27"/>
      <c r="N185" s="27"/>
      <c r="O185" s="27"/>
      <c r="P185" s="27"/>
      <c r="Q185" s="27"/>
      <c r="R185" s="27"/>
      <c r="S185" s="27"/>
      <c r="T185" s="27"/>
      <c r="U185" s="27"/>
      <c r="V185" s="28"/>
      <c r="W185" s="28"/>
      <c r="X185" s="28"/>
      <c r="Y185" s="28"/>
      <c r="Z185" s="28"/>
      <c r="AA185" s="28"/>
      <c r="AB185" s="28"/>
      <c r="AC185" s="28"/>
      <c r="AD185" s="28"/>
      <c r="AE185" s="28"/>
      <c r="AF185" s="28"/>
      <c r="AG185" s="28"/>
      <c r="AH185" s="28"/>
      <c r="AI185" s="28"/>
      <c r="AJ185" s="28"/>
      <c r="AK185" s="28"/>
      <c r="AL185" s="28"/>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row>
    <row r="186" spans="1:114" s="53" customFormat="1" ht="15.75" customHeight="1">
      <c r="A186" s="123">
        <f t="shared" si="16"/>
        <v>160</v>
      </c>
      <c r="B186" s="101">
        <v>15</v>
      </c>
      <c r="C186" s="102" t="s">
        <v>523</v>
      </c>
      <c r="D186" s="103" t="s">
        <v>527</v>
      </c>
      <c r="E186" s="102" t="s">
        <v>595</v>
      </c>
      <c r="F186" s="104">
        <v>10201.2</v>
      </c>
      <c r="G186" s="105"/>
      <c r="H186" s="106">
        <v>100000</v>
      </c>
      <c r="I186" s="107" t="s">
        <v>696</v>
      </c>
      <c r="J186" s="26"/>
      <c r="K186" s="43"/>
      <c r="L186" s="27"/>
      <c r="M186" s="27"/>
      <c r="N186" s="27"/>
      <c r="O186" s="27"/>
      <c r="P186" s="27"/>
      <c r="Q186" s="27"/>
      <c r="R186" s="27"/>
      <c r="S186" s="27"/>
      <c r="T186" s="27"/>
      <c r="U186" s="27"/>
      <c r="V186" s="28"/>
      <c r="W186" s="28"/>
      <c r="X186" s="28"/>
      <c r="Y186" s="28"/>
      <c r="Z186" s="28"/>
      <c r="AA186" s="28"/>
      <c r="AB186" s="28"/>
      <c r="AC186" s="28"/>
      <c r="AD186" s="28"/>
      <c r="AE186" s="28"/>
      <c r="AF186" s="28"/>
      <c r="AG186" s="28"/>
      <c r="AH186" s="28"/>
      <c r="AI186" s="28"/>
      <c r="AJ186" s="28"/>
      <c r="AK186" s="28"/>
      <c r="AL186" s="28"/>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row>
    <row r="187" spans="1:38" s="29" customFormat="1" ht="15.75" customHeight="1">
      <c r="A187" s="123">
        <f t="shared" si="16"/>
        <v>161</v>
      </c>
      <c r="B187" s="101">
        <v>16</v>
      </c>
      <c r="C187" s="102" t="s">
        <v>528</v>
      </c>
      <c r="D187" s="103" t="s">
        <v>938</v>
      </c>
      <c r="E187" s="102" t="s">
        <v>598</v>
      </c>
      <c r="F187" s="104">
        <v>22119121</v>
      </c>
      <c r="G187" s="105"/>
      <c r="H187" s="106"/>
      <c r="I187" s="107"/>
      <c r="J187" s="26"/>
      <c r="K187" s="43"/>
      <c r="L187" s="27"/>
      <c r="M187" s="27"/>
      <c r="N187" s="27"/>
      <c r="O187" s="27"/>
      <c r="P187" s="27"/>
      <c r="Q187" s="27"/>
      <c r="R187" s="27"/>
      <c r="S187" s="27"/>
      <c r="T187" s="27"/>
      <c r="U187" s="27"/>
      <c r="V187" s="28"/>
      <c r="W187" s="28"/>
      <c r="X187" s="28"/>
      <c r="Y187" s="28"/>
      <c r="Z187" s="28"/>
      <c r="AA187" s="28"/>
      <c r="AB187" s="28"/>
      <c r="AC187" s="28"/>
      <c r="AD187" s="28"/>
      <c r="AE187" s="28"/>
      <c r="AF187" s="28"/>
      <c r="AG187" s="28"/>
      <c r="AH187" s="28"/>
      <c r="AI187" s="28"/>
      <c r="AJ187" s="28"/>
      <c r="AK187" s="28"/>
      <c r="AL187" s="28"/>
    </row>
    <row r="188" spans="1:38" s="29" customFormat="1" ht="15.75" customHeight="1">
      <c r="A188" s="123">
        <f t="shared" si="16"/>
        <v>162</v>
      </c>
      <c r="B188" s="101">
        <f aca="true" t="shared" si="17" ref="B188:B194">+B187+1</f>
        <v>17</v>
      </c>
      <c r="C188" s="102" t="s">
        <v>528</v>
      </c>
      <c r="D188" s="103" t="s">
        <v>939</v>
      </c>
      <c r="E188" s="102" t="s">
        <v>598</v>
      </c>
      <c r="F188" s="104">
        <v>32690121</v>
      </c>
      <c r="G188" s="105"/>
      <c r="H188" s="106"/>
      <c r="I188" s="115"/>
      <c r="J188" s="26"/>
      <c r="K188" s="43"/>
      <c r="L188" s="27"/>
      <c r="M188" s="27"/>
      <c r="N188" s="27"/>
      <c r="O188" s="27"/>
      <c r="P188" s="27"/>
      <c r="Q188" s="27"/>
      <c r="R188" s="27"/>
      <c r="S188" s="27"/>
      <c r="T188" s="27"/>
      <c r="U188" s="27"/>
      <c r="V188" s="28"/>
      <c r="W188" s="28"/>
      <c r="X188" s="28"/>
      <c r="Y188" s="28"/>
      <c r="Z188" s="28"/>
      <c r="AA188" s="28"/>
      <c r="AB188" s="28"/>
      <c r="AC188" s="28"/>
      <c r="AD188" s="28"/>
      <c r="AE188" s="28"/>
      <c r="AF188" s="28"/>
      <c r="AG188" s="28"/>
      <c r="AH188" s="28"/>
      <c r="AI188" s="28"/>
      <c r="AJ188" s="28"/>
      <c r="AK188" s="28"/>
      <c r="AL188" s="28"/>
    </row>
    <row r="189" spans="1:38" s="29" customFormat="1" ht="15.75" customHeight="1">
      <c r="A189" s="123">
        <f t="shared" si="16"/>
        <v>163</v>
      </c>
      <c r="B189" s="101">
        <f t="shared" si="17"/>
        <v>18</v>
      </c>
      <c r="C189" s="102" t="s">
        <v>528</v>
      </c>
      <c r="D189" s="103" t="s">
        <v>940</v>
      </c>
      <c r="E189" s="102" t="s">
        <v>598</v>
      </c>
      <c r="F189" s="104">
        <v>22885121</v>
      </c>
      <c r="G189" s="105"/>
      <c r="H189" s="106"/>
      <c r="I189" s="115"/>
      <c r="J189" s="26"/>
      <c r="K189" s="43"/>
      <c r="L189" s="27"/>
      <c r="M189" s="27"/>
      <c r="N189" s="27"/>
      <c r="O189" s="27"/>
      <c r="P189" s="27"/>
      <c r="Q189" s="27"/>
      <c r="R189" s="27"/>
      <c r="S189" s="27"/>
      <c r="T189" s="27"/>
      <c r="U189" s="27"/>
      <c r="V189" s="28"/>
      <c r="W189" s="28"/>
      <c r="X189" s="28"/>
      <c r="Y189" s="28"/>
      <c r="Z189" s="28"/>
      <c r="AA189" s="28"/>
      <c r="AB189" s="28"/>
      <c r="AC189" s="28"/>
      <c r="AD189" s="28"/>
      <c r="AE189" s="28"/>
      <c r="AF189" s="28"/>
      <c r="AG189" s="28"/>
      <c r="AH189" s="28"/>
      <c r="AI189" s="28"/>
      <c r="AJ189" s="28"/>
      <c r="AK189" s="28"/>
      <c r="AL189" s="28"/>
    </row>
    <row r="190" spans="1:38" s="29" customFormat="1" ht="15.75" customHeight="1">
      <c r="A190" s="123">
        <f t="shared" si="16"/>
        <v>164</v>
      </c>
      <c r="B190" s="101">
        <f t="shared" si="17"/>
        <v>19</v>
      </c>
      <c r="C190" s="102" t="s">
        <v>528</v>
      </c>
      <c r="D190" s="103" t="s">
        <v>941</v>
      </c>
      <c r="E190" s="102" t="s">
        <v>598</v>
      </c>
      <c r="F190" s="104">
        <v>67879121</v>
      </c>
      <c r="G190" s="105"/>
      <c r="H190" s="106"/>
      <c r="I190" s="107"/>
      <c r="J190" s="26"/>
      <c r="K190" s="43"/>
      <c r="L190" s="27"/>
      <c r="M190" s="27"/>
      <c r="N190" s="27"/>
      <c r="O190" s="27"/>
      <c r="P190" s="27"/>
      <c r="Q190" s="27"/>
      <c r="R190" s="27"/>
      <c r="S190" s="27"/>
      <c r="T190" s="27"/>
      <c r="U190" s="27"/>
      <c r="V190" s="28"/>
      <c r="W190" s="28"/>
      <c r="X190" s="28"/>
      <c r="Y190" s="28"/>
      <c r="Z190" s="28"/>
      <c r="AA190" s="28"/>
      <c r="AB190" s="28"/>
      <c r="AC190" s="28"/>
      <c r="AD190" s="28"/>
      <c r="AE190" s="28"/>
      <c r="AF190" s="28"/>
      <c r="AG190" s="28"/>
      <c r="AH190" s="28"/>
      <c r="AI190" s="28"/>
      <c r="AJ190" s="28"/>
      <c r="AK190" s="28"/>
      <c r="AL190" s="28"/>
    </row>
    <row r="191" spans="1:38" s="29" customFormat="1" ht="15.75" customHeight="1">
      <c r="A191" s="125">
        <f t="shared" si="16"/>
        <v>165</v>
      </c>
      <c r="B191" s="109">
        <f t="shared" si="17"/>
        <v>20</v>
      </c>
      <c r="C191" s="110" t="s">
        <v>528</v>
      </c>
      <c r="D191" s="111" t="s">
        <v>551</v>
      </c>
      <c r="E191" s="110" t="s">
        <v>596</v>
      </c>
      <c r="F191" s="112">
        <f>9138160/3.05</f>
        <v>2996118.0327868853</v>
      </c>
      <c r="G191" s="113"/>
      <c r="H191" s="106"/>
      <c r="I191" s="107"/>
      <c r="J191" s="26"/>
      <c r="K191" s="43"/>
      <c r="L191" s="27"/>
      <c r="M191" s="27"/>
      <c r="N191" s="27"/>
      <c r="O191" s="27"/>
      <c r="P191" s="27"/>
      <c r="Q191" s="27"/>
      <c r="R191" s="27"/>
      <c r="S191" s="27"/>
      <c r="T191" s="27"/>
      <c r="U191" s="27"/>
      <c r="V191" s="28"/>
      <c r="W191" s="28"/>
      <c r="X191" s="28"/>
      <c r="Y191" s="28"/>
      <c r="Z191" s="28"/>
      <c r="AA191" s="28"/>
      <c r="AB191" s="28"/>
      <c r="AC191" s="28"/>
      <c r="AD191" s="28"/>
      <c r="AE191" s="28"/>
      <c r="AF191" s="28"/>
      <c r="AG191" s="28"/>
      <c r="AH191" s="28"/>
      <c r="AI191" s="28"/>
      <c r="AJ191" s="28"/>
      <c r="AK191" s="28"/>
      <c r="AL191" s="28"/>
    </row>
    <row r="192" spans="1:38" s="29" customFormat="1" ht="15.75" customHeight="1">
      <c r="A192" s="123">
        <f t="shared" si="16"/>
        <v>166</v>
      </c>
      <c r="B192" s="101">
        <f t="shared" si="17"/>
        <v>21</v>
      </c>
      <c r="C192" s="102" t="s">
        <v>529</v>
      </c>
      <c r="D192" s="103" t="s">
        <v>587</v>
      </c>
      <c r="E192" s="102" t="s">
        <v>3</v>
      </c>
      <c r="F192" s="104">
        <f>445005.8-10077+8521-13000+9254.5</f>
        <v>439704.3</v>
      </c>
      <c r="G192" s="105"/>
      <c r="H192" s="106">
        <v>2356872.7</v>
      </c>
      <c r="I192" s="107" t="s">
        <v>696</v>
      </c>
      <c r="J192" s="26"/>
      <c r="K192" s="43"/>
      <c r="L192" s="27"/>
      <c r="M192" s="27"/>
      <c r="N192" s="27"/>
      <c r="O192" s="27"/>
      <c r="P192" s="27"/>
      <c r="Q192" s="27"/>
      <c r="R192" s="27"/>
      <c r="S192" s="27"/>
      <c r="T192" s="27"/>
      <c r="U192" s="27"/>
      <c r="V192" s="28"/>
      <c r="W192" s="28"/>
      <c r="X192" s="28"/>
      <c r="Y192" s="28"/>
      <c r="Z192" s="28"/>
      <c r="AA192" s="28"/>
      <c r="AB192" s="28"/>
      <c r="AC192" s="28"/>
      <c r="AD192" s="28"/>
      <c r="AE192" s="28"/>
      <c r="AF192" s="28"/>
      <c r="AG192" s="28"/>
      <c r="AH192" s="28"/>
      <c r="AI192" s="28"/>
      <c r="AJ192" s="28"/>
      <c r="AK192" s="28"/>
      <c r="AL192" s="28"/>
    </row>
    <row r="193" spans="1:38" s="29" customFormat="1" ht="15.75" customHeight="1">
      <c r="A193" s="123">
        <f t="shared" si="16"/>
        <v>167</v>
      </c>
      <c r="B193" s="101">
        <f t="shared" si="17"/>
        <v>22</v>
      </c>
      <c r="C193" s="102" t="s">
        <v>530</v>
      </c>
      <c r="D193" s="103" t="s">
        <v>582</v>
      </c>
      <c r="E193" s="102" t="s">
        <v>3</v>
      </c>
      <c r="F193" s="104">
        <v>1960571.5</v>
      </c>
      <c r="G193" s="105"/>
      <c r="H193" s="106">
        <v>1961020</v>
      </c>
      <c r="I193" s="107" t="s">
        <v>696</v>
      </c>
      <c r="J193" s="26"/>
      <c r="K193" s="54"/>
      <c r="L193" s="27"/>
      <c r="M193" s="27"/>
      <c r="N193" s="27"/>
      <c r="O193" s="27"/>
      <c r="P193" s="27"/>
      <c r="Q193" s="27"/>
      <c r="R193" s="27"/>
      <c r="S193" s="27"/>
      <c r="T193" s="27"/>
      <c r="U193" s="27"/>
      <c r="V193" s="28"/>
      <c r="W193" s="28"/>
      <c r="X193" s="28"/>
      <c r="Y193" s="28"/>
      <c r="Z193" s="28"/>
      <c r="AA193" s="28"/>
      <c r="AB193" s="28"/>
      <c r="AC193" s="28"/>
      <c r="AD193" s="28"/>
      <c r="AE193" s="28"/>
      <c r="AF193" s="28"/>
      <c r="AG193" s="28"/>
      <c r="AH193" s="28"/>
      <c r="AI193" s="28"/>
      <c r="AJ193" s="28"/>
      <c r="AK193" s="28"/>
      <c r="AL193" s="28"/>
    </row>
    <row r="194" spans="1:115" s="56" customFormat="1" ht="15.75" customHeight="1">
      <c r="A194" s="126">
        <f t="shared" si="16"/>
        <v>168</v>
      </c>
      <c r="B194" s="127">
        <f t="shared" si="17"/>
        <v>23</v>
      </c>
      <c r="C194" s="128" t="s">
        <v>533</v>
      </c>
      <c r="D194" s="129" t="s">
        <v>588</v>
      </c>
      <c r="E194" s="128" t="s">
        <v>3</v>
      </c>
      <c r="F194" s="130">
        <f>122620+89020+119620</f>
        <v>331260</v>
      </c>
      <c r="G194" s="131"/>
      <c r="H194" s="132">
        <f>306500+222500+299000</f>
        <v>828000</v>
      </c>
      <c r="I194" s="134" t="s">
        <v>696</v>
      </c>
      <c r="J194" s="26"/>
      <c r="K194" s="43"/>
      <c r="L194" s="27"/>
      <c r="M194" s="27"/>
      <c r="N194" s="27"/>
      <c r="O194" s="27"/>
      <c r="P194" s="27"/>
      <c r="Q194" s="27"/>
      <c r="R194" s="27"/>
      <c r="S194" s="27"/>
      <c r="T194" s="27"/>
      <c r="U194" s="27"/>
      <c r="V194" s="28"/>
      <c r="W194" s="28"/>
      <c r="X194" s="28"/>
      <c r="Y194" s="28"/>
      <c r="Z194" s="28"/>
      <c r="AA194" s="28"/>
      <c r="AB194" s="28"/>
      <c r="AC194" s="28"/>
      <c r="AD194" s="28"/>
      <c r="AE194" s="28"/>
      <c r="AF194" s="28"/>
      <c r="AG194" s="28"/>
      <c r="AH194" s="28"/>
      <c r="AI194" s="28"/>
      <c r="AJ194" s="28"/>
      <c r="AK194" s="28"/>
      <c r="AL194" s="28"/>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55"/>
    </row>
    <row r="195" spans="1:114" s="30" customFormat="1" ht="15.75" customHeight="1">
      <c r="A195" s="282" t="s">
        <v>298</v>
      </c>
      <c r="B195" s="283"/>
      <c r="C195" s="283"/>
      <c r="D195" s="283"/>
      <c r="E195" s="22"/>
      <c r="F195" s="23">
        <f>SUM(F172:F194)</f>
        <v>251186509.0395654</v>
      </c>
      <c r="G195" s="23"/>
      <c r="H195" s="24">
        <f>SUM(H172:H194)</f>
        <v>23729712.7</v>
      </c>
      <c r="I195" s="25"/>
      <c r="J195" s="26"/>
      <c r="K195" s="27"/>
      <c r="L195" s="27"/>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row>
    <row r="196" spans="1:114" s="38" customFormat="1" ht="15.75" customHeight="1">
      <c r="A196" s="291">
        <v>1999</v>
      </c>
      <c r="B196" s="292"/>
      <c r="C196" s="292"/>
      <c r="D196" s="292"/>
      <c r="E196" s="292"/>
      <c r="F196" s="292"/>
      <c r="G196" s="292"/>
      <c r="H196" s="292"/>
      <c r="I196" s="293"/>
      <c r="J196" s="26"/>
      <c r="K196" s="43"/>
      <c r="L196" s="27"/>
      <c r="M196" s="27"/>
      <c r="N196" s="27"/>
      <c r="O196" s="27"/>
      <c r="P196" s="27"/>
      <c r="Q196" s="27"/>
      <c r="R196" s="27"/>
      <c r="S196" s="27"/>
      <c r="T196" s="27"/>
      <c r="U196" s="27"/>
      <c r="V196" s="28"/>
      <c r="W196" s="28"/>
      <c r="X196" s="28"/>
      <c r="Y196" s="28"/>
      <c r="Z196" s="28"/>
      <c r="AA196" s="28"/>
      <c r="AB196" s="28"/>
      <c r="AC196" s="28"/>
      <c r="AD196" s="28"/>
      <c r="AE196" s="28"/>
      <c r="AF196" s="28"/>
      <c r="AG196" s="28"/>
      <c r="AH196" s="28"/>
      <c r="AI196" s="28"/>
      <c r="AJ196" s="28"/>
      <c r="AK196" s="28"/>
      <c r="AL196" s="28"/>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row>
    <row r="197" spans="1:114" s="30" customFormat="1" ht="15.75" customHeight="1">
      <c r="A197" s="75">
        <f>A194+1</f>
        <v>169</v>
      </c>
      <c r="B197" s="76">
        <v>1</v>
      </c>
      <c r="C197" s="77" t="s">
        <v>534</v>
      </c>
      <c r="D197" s="78" t="s">
        <v>535</v>
      </c>
      <c r="E197" s="77" t="s">
        <v>598</v>
      </c>
      <c r="F197" s="98">
        <f>33994884.1/3.372</f>
        <v>10081519.602609728</v>
      </c>
      <c r="G197" s="99"/>
      <c r="H197" s="79"/>
      <c r="I197" s="81"/>
      <c r="J197" s="26"/>
      <c r="K197" s="43"/>
      <c r="L197" s="27"/>
      <c r="M197" s="27"/>
      <c r="N197" s="27"/>
      <c r="O197" s="27"/>
      <c r="P197" s="27"/>
      <c r="Q197" s="27"/>
      <c r="R197" s="27"/>
      <c r="S197" s="27"/>
      <c r="T197" s="27"/>
      <c r="U197" s="27"/>
      <c r="V197" s="28"/>
      <c r="W197" s="28"/>
      <c r="X197" s="28"/>
      <c r="Y197" s="28"/>
      <c r="Z197" s="28"/>
      <c r="AA197" s="28"/>
      <c r="AB197" s="28"/>
      <c r="AC197" s="28"/>
      <c r="AD197" s="28"/>
      <c r="AE197" s="28"/>
      <c r="AF197" s="28"/>
      <c r="AG197" s="28"/>
      <c r="AH197" s="28"/>
      <c r="AI197" s="28"/>
      <c r="AJ197" s="28"/>
      <c r="AK197" s="28"/>
      <c r="AL197" s="28"/>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row>
    <row r="198" spans="1:114" s="30" customFormat="1" ht="15.75" customHeight="1">
      <c r="A198" s="123">
        <f aca="true" t="shared" si="18" ref="A198:A212">+A197+1</f>
        <v>170</v>
      </c>
      <c r="B198" s="101">
        <v>2</v>
      </c>
      <c r="C198" s="102" t="s">
        <v>590</v>
      </c>
      <c r="D198" s="103" t="s">
        <v>591</v>
      </c>
      <c r="E198" s="102" t="s">
        <v>3</v>
      </c>
      <c r="F198" s="104">
        <v>23824</v>
      </c>
      <c r="G198" s="105"/>
      <c r="H198" s="106">
        <v>15830</v>
      </c>
      <c r="I198" s="107" t="s">
        <v>696</v>
      </c>
      <c r="J198" s="26"/>
      <c r="K198" s="43"/>
      <c r="L198" s="27"/>
      <c r="M198" s="27"/>
      <c r="N198" s="27"/>
      <c r="O198" s="27"/>
      <c r="P198" s="27"/>
      <c r="Q198" s="27"/>
      <c r="R198" s="27"/>
      <c r="S198" s="27"/>
      <c r="T198" s="27"/>
      <c r="U198" s="27"/>
      <c r="V198" s="28"/>
      <c r="W198" s="28"/>
      <c r="X198" s="28"/>
      <c r="Y198" s="28"/>
      <c r="Z198" s="28"/>
      <c r="AA198" s="28"/>
      <c r="AB198" s="28"/>
      <c r="AC198" s="28"/>
      <c r="AD198" s="28"/>
      <c r="AE198" s="28"/>
      <c r="AF198" s="28"/>
      <c r="AG198" s="28"/>
      <c r="AH198" s="28"/>
      <c r="AI198" s="28"/>
      <c r="AJ198" s="28"/>
      <c r="AK198" s="28"/>
      <c r="AL198" s="28"/>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row>
    <row r="199" spans="1:114" s="30" customFormat="1" ht="15.75" customHeight="1">
      <c r="A199" s="123">
        <f t="shared" si="18"/>
        <v>171</v>
      </c>
      <c r="B199" s="101">
        <v>3</v>
      </c>
      <c r="C199" s="102" t="s">
        <v>538</v>
      </c>
      <c r="D199" s="103" t="s">
        <v>589</v>
      </c>
      <c r="E199" s="102" t="s">
        <v>3</v>
      </c>
      <c r="F199" s="104">
        <f>23751+16670+53419+71430+27890</f>
        <v>193160</v>
      </c>
      <c r="G199" s="105"/>
      <c r="H199" s="106">
        <f>45750+41430+53100+108570+11110</f>
        <v>259960</v>
      </c>
      <c r="I199" s="107" t="s">
        <v>696</v>
      </c>
      <c r="J199" s="26"/>
      <c r="K199" s="43"/>
      <c r="L199" s="27"/>
      <c r="M199" s="27"/>
      <c r="N199" s="27"/>
      <c r="O199" s="27"/>
      <c r="P199" s="27"/>
      <c r="Q199" s="27"/>
      <c r="R199" s="27"/>
      <c r="S199" s="27"/>
      <c r="T199" s="27"/>
      <c r="U199" s="27"/>
      <c r="V199" s="28"/>
      <c r="W199" s="28"/>
      <c r="X199" s="28"/>
      <c r="Y199" s="28"/>
      <c r="Z199" s="28"/>
      <c r="AA199" s="28"/>
      <c r="AB199" s="28"/>
      <c r="AC199" s="28"/>
      <c r="AD199" s="28"/>
      <c r="AE199" s="28"/>
      <c r="AF199" s="28"/>
      <c r="AG199" s="28"/>
      <c r="AH199" s="28"/>
      <c r="AI199" s="28"/>
      <c r="AJ199" s="28"/>
      <c r="AK199" s="28"/>
      <c r="AL199" s="28"/>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row>
    <row r="200" spans="1:114" s="30" customFormat="1" ht="15.75" customHeight="1">
      <c r="A200" s="123">
        <f t="shared" si="18"/>
        <v>172</v>
      </c>
      <c r="B200" s="101">
        <f aca="true" t="shared" si="19" ref="B200:B212">+B199+1</f>
        <v>4</v>
      </c>
      <c r="C200" s="102" t="s">
        <v>539</v>
      </c>
      <c r="D200" s="103" t="s">
        <v>942</v>
      </c>
      <c r="E200" s="102" t="s">
        <v>598</v>
      </c>
      <c r="F200" s="104">
        <f>103500000/3.346</f>
        <v>30932456.664674237</v>
      </c>
      <c r="G200" s="105"/>
      <c r="H200" s="106"/>
      <c r="I200" s="115"/>
      <c r="J200" s="26"/>
      <c r="K200" s="43"/>
      <c r="L200" s="27"/>
      <c r="M200" s="27"/>
      <c r="N200" s="27"/>
      <c r="O200" s="27"/>
      <c r="P200" s="27"/>
      <c r="Q200" s="27"/>
      <c r="R200" s="27"/>
      <c r="S200" s="27"/>
      <c r="T200" s="27"/>
      <c r="U200" s="27"/>
      <c r="V200" s="28"/>
      <c r="W200" s="28"/>
      <c r="X200" s="28"/>
      <c r="Y200" s="28"/>
      <c r="Z200" s="28"/>
      <c r="AA200" s="28"/>
      <c r="AB200" s="28"/>
      <c r="AC200" s="28"/>
      <c r="AD200" s="28"/>
      <c r="AE200" s="28"/>
      <c r="AF200" s="28"/>
      <c r="AG200" s="28"/>
      <c r="AH200" s="28"/>
      <c r="AI200" s="28"/>
      <c r="AJ200" s="28"/>
      <c r="AK200" s="28"/>
      <c r="AL200" s="28"/>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row>
    <row r="201" spans="1:114" s="30" customFormat="1" ht="15.75" customHeight="1">
      <c r="A201" s="123">
        <f t="shared" si="18"/>
        <v>173</v>
      </c>
      <c r="B201" s="101">
        <f t="shared" si="19"/>
        <v>5</v>
      </c>
      <c r="C201" s="102" t="s">
        <v>543</v>
      </c>
      <c r="D201" s="103" t="s">
        <v>541</v>
      </c>
      <c r="E201" s="102" t="s">
        <v>597</v>
      </c>
      <c r="F201" s="104">
        <v>61777777</v>
      </c>
      <c r="G201" s="105"/>
      <c r="H201" s="106">
        <v>70000000</v>
      </c>
      <c r="I201" s="107" t="s">
        <v>696</v>
      </c>
      <c r="J201" s="26"/>
      <c r="K201" s="43"/>
      <c r="L201" s="27"/>
      <c r="M201" s="27"/>
      <c r="N201" s="27"/>
      <c r="O201" s="27"/>
      <c r="P201" s="27"/>
      <c r="Q201" s="27"/>
      <c r="R201" s="27"/>
      <c r="S201" s="27"/>
      <c r="T201" s="27"/>
      <c r="U201" s="27"/>
      <c r="V201" s="28"/>
      <c r="W201" s="28"/>
      <c r="X201" s="28"/>
      <c r="Y201" s="28"/>
      <c r="Z201" s="28"/>
      <c r="AA201" s="28"/>
      <c r="AB201" s="28"/>
      <c r="AC201" s="28"/>
      <c r="AD201" s="28"/>
      <c r="AE201" s="28"/>
      <c r="AF201" s="28"/>
      <c r="AG201" s="28"/>
      <c r="AH201" s="28"/>
      <c r="AI201" s="28"/>
      <c r="AJ201" s="28"/>
      <c r="AK201" s="28"/>
      <c r="AL201" s="28"/>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row>
    <row r="202" spans="1:114" s="48" customFormat="1" ht="15.75" customHeight="1">
      <c r="A202" s="123">
        <f t="shared" si="18"/>
        <v>174</v>
      </c>
      <c r="B202" s="101">
        <f t="shared" si="19"/>
        <v>6</v>
      </c>
      <c r="C202" s="124" t="s">
        <v>544</v>
      </c>
      <c r="D202" s="103" t="s">
        <v>545</v>
      </c>
      <c r="E202" s="102" t="s">
        <v>596</v>
      </c>
      <c r="F202" s="104">
        <v>186396.03</v>
      </c>
      <c r="G202" s="105"/>
      <c r="H202" s="106"/>
      <c r="I202" s="107"/>
      <c r="J202" s="26"/>
      <c r="K202" s="43"/>
      <c r="L202" s="27"/>
      <c r="M202" s="27"/>
      <c r="N202" s="27"/>
      <c r="O202" s="27"/>
      <c r="P202" s="27"/>
      <c r="Q202" s="27"/>
      <c r="R202" s="27"/>
      <c r="S202" s="27"/>
      <c r="T202" s="27"/>
      <c r="U202" s="27"/>
      <c r="V202" s="28"/>
      <c r="W202" s="28"/>
      <c r="X202" s="28"/>
      <c r="Y202" s="28"/>
      <c r="Z202" s="28"/>
      <c r="AA202" s="28"/>
      <c r="AB202" s="28"/>
      <c r="AC202" s="28"/>
      <c r="AD202" s="28"/>
      <c r="AE202" s="28"/>
      <c r="AF202" s="28"/>
      <c r="AG202" s="28"/>
      <c r="AH202" s="28"/>
      <c r="AI202" s="28"/>
      <c r="AJ202" s="28"/>
      <c r="AK202" s="28"/>
      <c r="AL202" s="28"/>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row>
    <row r="203" spans="1:114" s="53" customFormat="1" ht="15.75" customHeight="1">
      <c r="A203" s="123">
        <f t="shared" si="18"/>
        <v>175</v>
      </c>
      <c r="B203" s="101">
        <f t="shared" si="19"/>
        <v>7</v>
      </c>
      <c r="C203" s="102" t="s">
        <v>546</v>
      </c>
      <c r="D203" s="103" t="s">
        <v>484</v>
      </c>
      <c r="E203" s="102" t="s">
        <v>3</v>
      </c>
      <c r="F203" s="104">
        <v>88164</v>
      </c>
      <c r="G203" s="105"/>
      <c r="H203" s="106">
        <v>192100</v>
      </c>
      <c r="I203" s="115" t="s">
        <v>696</v>
      </c>
      <c r="J203" s="26"/>
      <c r="K203" s="43"/>
      <c r="L203" s="27"/>
      <c r="M203" s="27"/>
      <c r="N203" s="27"/>
      <c r="O203" s="27"/>
      <c r="P203" s="27"/>
      <c r="Q203" s="27"/>
      <c r="R203" s="27"/>
      <c r="S203" s="27"/>
      <c r="T203" s="27"/>
      <c r="U203" s="27"/>
      <c r="V203" s="28"/>
      <c r="W203" s="28"/>
      <c r="X203" s="28"/>
      <c r="Y203" s="28"/>
      <c r="Z203" s="28"/>
      <c r="AA203" s="28"/>
      <c r="AB203" s="28"/>
      <c r="AC203" s="28"/>
      <c r="AD203" s="28"/>
      <c r="AE203" s="28"/>
      <c r="AF203" s="28"/>
      <c r="AG203" s="28"/>
      <c r="AH203" s="28"/>
      <c r="AI203" s="28"/>
      <c r="AJ203" s="28"/>
      <c r="AK203" s="28"/>
      <c r="AL203" s="28"/>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row>
    <row r="204" spans="1:114" s="136" customFormat="1" ht="15.75" customHeight="1">
      <c r="A204" s="123">
        <f t="shared" si="18"/>
        <v>176</v>
      </c>
      <c r="B204" s="101">
        <f t="shared" si="19"/>
        <v>8</v>
      </c>
      <c r="C204" s="102" t="s">
        <v>552</v>
      </c>
      <c r="D204" s="103" t="s">
        <v>553</v>
      </c>
      <c r="E204" s="102" t="s">
        <v>736</v>
      </c>
      <c r="F204" s="104">
        <v>88351116</v>
      </c>
      <c r="G204" s="105"/>
      <c r="H204" s="106"/>
      <c r="I204" s="107"/>
      <c r="J204" s="26"/>
      <c r="K204" s="43"/>
      <c r="L204" s="27"/>
      <c r="M204" s="27"/>
      <c r="N204" s="27"/>
      <c r="O204" s="27"/>
      <c r="P204" s="27"/>
      <c r="Q204" s="27"/>
      <c r="R204" s="27"/>
      <c r="S204" s="27"/>
      <c r="T204" s="27"/>
      <c r="U204" s="27"/>
      <c r="V204" s="28"/>
      <c r="W204" s="28"/>
      <c r="X204" s="28"/>
      <c r="Y204" s="28"/>
      <c r="Z204" s="28"/>
      <c r="AA204" s="28"/>
      <c r="AB204" s="28"/>
      <c r="AC204" s="28"/>
      <c r="AD204" s="28"/>
      <c r="AE204" s="28"/>
      <c r="AF204" s="28"/>
      <c r="AG204" s="28"/>
      <c r="AH204" s="28"/>
      <c r="AI204" s="28"/>
      <c r="AJ204" s="28"/>
      <c r="AK204" s="28"/>
      <c r="AL204" s="28"/>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row>
    <row r="205" spans="1:114" s="60" customFormat="1" ht="15.75" customHeight="1">
      <c r="A205" s="123">
        <f t="shared" si="18"/>
        <v>177</v>
      </c>
      <c r="B205" s="101">
        <f t="shared" si="19"/>
        <v>9</v>
      </c>
      <c r="C205" s="102" t="s">
        <v>556</v>
      </c>
      <c r="D205" s="103" t="s">
        <v>557</v>
      </c>
      <c r="E205" s="102" t="s">
        <v>3</v>
      </c>
      <c r="F205" s="104">
        <f>5311628.84-3143000</f>
        <v>2168628.84</v>
      </c>
      <c r="G205" s="105"/>
      <c r="H205" s="106">
        <v>3143000</v>
      </c>
      <c r="I205" s="107" t="s">
        <v>696</v>
      </c>
      <c r="J205" s="26"/>
      <c r="K205" s="43"/>
      <c r="L205" s="27"/>
      <c r="M205" s="27"/>
      <c r="N205" s="27"/>
      <c r="O205" s="27"/>
      <c r="P205" s="27"/>
      <c r="Q205" s="27"/>
      <c r="R205" s="27"/>
      <c r="S205" s="27"/>
      <c r="T205" s="27"/>
      <c r="U205" s="27"/>
      <c r="V205" s="28"/>
      <c r="W205" s="28"/>
      <c r="X205" s="28"/>
      <c r="Y205" s="28"/>
      <c r="Z205" s="28"/>
      <c r="AA205" s="28"/>
      <c r="AB205" s="28"/>
      <c r="AC205" s="28"/>
      <c r="AD205" s="28"/>
      <c r="AE205" s="28"/>
      <c r="AF205" s="28"/>
      <c r="AG205" s="28"/>
      <c r="AH205" s="28"/>
      <c r="AI205" s="28"/>
      <c r="AJ205" s="28"/>
      <c r="AK205" s="28"/>
      <c r="AL205" s="28"/>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row>
    <row r="206" spans="1:38" s="29" customFormat="1" ht="15.75" customHeight="1">
      <c r="A206" s="123">
        <f t="shared" si="18"/>
        <v>178</v>
      </c>
      <c r="B206" s="101">
        <f t="shared" si="19"/>
        <v>10</v>
      </c>
      <c r="C206" s="102" t="s">
        <v>554</v>
      </c>
      <c r="D206" s="103" t="s">
        <v>555</v>
      </c>
      <c r="E206" s="102" t="s">
        <v>3</v>
      </c>
      <c r="F206" s="104">
        <v>711704</v>
      </c>
      <c r="G206" s="105"/>
      <c r="H206" s="106">
        <v>1092450</v>
      </c>
      <c r="I206" s="107" t="s">
        <v>696</v>
      </c>
      <c r="J206" s="26"/>
      <c r="K206" s="43"/>
      <c r="L206" s="27"/>
      <c r="M206" s="27"/>
      <c r="N206" s="27"/>
      <c r="O206" s="27"/>
      <c r="P206" s="27"/>
      <c r="Q206" s="27"/>
      <c r="R206" s="27"/>
      <c r="S206" s="27"/>
      <c r="T206" s="27"/>
      <c r="U206" s="27"/>
      <c r="V206" s="28"/>
      <c r="W206" s="28"/>
      <c r="X206" s="28"/>
      <c r="Y206" s="28"/>
      <c r="Z206" s="28"/>
      <c r="AA206" s="28"/>
      <c r="AB206" s="28"/>
      <c r="AC206" s="28"/>
      <c r="AD206" s="28"/>
      <c r="AE206" s="28"/>
      <c r="AF206" s="28"/>
      <c r="AG206" s="28"/>
      <c r="AH206" s="28"/>
      <c r="AI206" s="28"/>
      <c r="AJ206" s="28"/>
      <c r="AK206" s="28"/>
      <c r="AL206" s="28"/>
    </row>
    <row r="207" spans="1:38" s="29" customFormat="1" ht="15.75" customHeight="1">
      <c r="A207" s="123">
        <f t="shared" si="18"/>
        <v>179</v>
      </c>
      <c r="B207" s="101">
        <f t="shared" si="19"/>
        <v>11</v>
      </c>
      <c r="C207" s="102" t="s">
        <v>153</v>
      </c>
      <c r="D207" s="103" t="s">
        <v>154</v>
      </c>
      <c r="E207" s="102" t="s">
        <v>597</v>
      </c>
      <c r="F207" s="104">
        <v>207270.41</v>
      </c>
      <c r="G207" s="105"/>
      <c r="H207" s="106"/>
      <c r="I207" s="107"/>
      <c r="J207" s="26"/>
      <c r="K207" s="43"/>
      <c r="L207" s="27"/>
      <c r="M207" s="27"/>
      <c r="N207" s="27"/>
      <c r="O207" s="27"/>
      <c r="P207" s="27"/>
      <c r="Q207" s="27"/>
      <c r="R207" s="27"/>
      <c r="S207" s="27"/>
      <c r="T207" s="27"/>
      <c r="U207" s="27"/>
      <c r="V207" s="28"/>
      <c r="W207" s="28"/>
      <c r="X207" s="28"/>
      <c r="Y207" s="28"/>
      <c r="Z207" s="28"/>
      <c r="AA207" s="28"/>
      <c r="AB207" s="28"/>
      <c r="AC207" s="28"/>
      <c r="AD207" s="28"/>
      <c r="AE207" s="28"/>
      <c r="AF207" s="28"/>
      <c r="AG207" s="28"/>
      <c r="AH207" s="28"/>
      <c r="AI207" s="28"/>
      <c r="AJ207" s="28"/>
      <c r="AK207" s="28"/>
      <c r="AL207" s="28"/>
    </row>
    <row r="208" spans="1:38" s="29" customFormat="1" ht="15.75" customHeight="1">
      <c r="A208" s="123">
        <f t="shared" si="18"/>
        <v>180</v>
      </c>
      <c r="B208" s="101">
        <f t="shared" si="19"/>
        <v>12</v>
      </c>
      <c r="C208" s="102" t="s">
        <v>494</v>
      </c>
      <c r="D208" s="103" t="s">
        <v>495</v>
      </c>
      <c r="E208" s="102" t="s">
        <v>598</v>
      </c>
      <c r="F208" s="104">
        <v>60000052</v>
      </c>
      <c r="G208" s="105"/>
      <c r="H208" s="106"/>
      <c r="I208" s="107"/>
      <c r="J208" s="26"/>
      <c r="K208" s="43"/>
      <c r="L208" s="27"/>
      <c r="M208" s="27"/>
      <c r="N208" s="27"/>
      <c r="O208" s="27"/>
      <c r="P208" s="27"/>
      <c r="Q208" s="27"/>
      <c r="R208" s="27"/>
      <c r="S208" s="27"/>
      <c r="T208" s="27"/>
      <c r="U208" s="27"/>
      <c r="V208" s="28"/>
      <c r="W208" s="28"/>
      <c r="X208" s="28"/>
      <c r="Y208" s="28"/>
      <c r="Z208" s="28"/>
      <c r="AA208" s="28"/>
      <c r="AB208" s="28"/>
      <c r="AC208" s="28"/>
      <c r="AD208" s="28"/>
      <c r="AE208" s="28"/>
      <c r="AF208" s="28"/>
      <c r="AG208" s="28"/>
      <c r="AH208" s="28"/>
      <c r="AI208" s="28"/>
      <c r="AJ208" s="28"/>
      <c r="AK208" s="28"/>
      <c r="AL208" s="28"/>
    </row>
    <row r="209" spans="1:114" s="136" customFormat="1" ht="15.75" customHeight="1">
      <c r="A209" s="123">
        <f t="shared" si="18"/>
        <v>181</v>
      </c>
      <c r="B209" s="101">
        <f t="shared" si="19"/>
        <v>13</v>
      </c>
      <c r="C209" s="102" t="s">
        <v>435</v>
      </c>
      <c r="D209" s="103" t="s">
        <v>496</v>
      </c>
      <c r="E209" s="102" t="s">
        <v>3</v>
      </c>
      <c r="F209" s="104">
        <v>2307001</v>
      </c>
      <c r="G209" s="105"/>
      <c r="H209" s="106">
        <v>8000000</v>
      </c>
      <c r="I209" s="107" t="s">
        <v>166</v>
      </c>
      <c r="J209" s="26"/>
      <c r="K209" s="43"/>
      <c r="L209" s="27"/>
      <c r="M209" s="27"/>
      <c r="N209" s="27"/>
      <c r="O209" s="27"/>
      <c r="P209" s="27"/>
      <c r="Q209" s="27"/>
      <c r="R209" s="27"/>
      <c r="S209" s="27"/>
      <c r="T209" s="27"/>
      <c r="U209" s="27"/>
      <c r="V209" s="28"/>
      <c r="W209" s="28"/>
      <c r="X209" s="28"/>
      <c r="Y209" s="28"/>
      <c r="Z209" s="28"/>
      <c r="AA209" s="28"/>
      <c r="AB209" s="28"/>
      <c r="AC209" s="28"/>
      <c r="AD209" s="28"/>
      <c r="AE209" s="28"/>
      <c r="AF209" s="28"/>
      <c r="AG209" s="28"/>
      <c r="AH209" s="28"/>
      <c r="AI209" s="28"/>
      <c r="AJ209" s="28"/>
      <c r="AK209" s="28"/>
      <c r="AL209" s="28"/>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row>
    <row r="210" spans="1:38" s="29" customFormat="1" ht="15.75" customHeight="1">
      <c r="A210" s="123">
        <f t="shared" si="18"/>
        <v>182</v>
      </c>
      <c r="B210" s="101">
        <f t="shared" si="19"/>
        <v>14</v>
      </c>
      <c r="C210" s="102" t="s">
        <v>468</v>
      </c>
      <c r="D210" s="103" t="s">
        <v>943</v>
      </c>
      <c r="E210" s="102" t="s">
        <v>598</v>
      </c>
      <c r="F210" s="104">
        <f>84000000/3.45</f>
        <v>24347826.08695652</v>
      </c>
      <c r="G210" s="105"/>
      <c r="H210" s="106"/>
      <c r="I210" s="107"/>
      <c r="J210" s="26"/>
      <c r="K210" s="43"/>
      <c r="L210" s="27"/>
      <c r="M210" s="27"/>
      <c r="N210" s="27"/>
      <c r="O210" s="27"/>
      <c r="P210" s="27"/>
      <c r="Q210" s="27"/>
      <c r="R210" s="27"/>
      <c r="S210" s="27"/>
      <c r="T210" s="27"/>
      <c r="U210" s="27"/>
      <c r="V210" s="28"/>
      <c r="W210" s="28"/>
      <c r="X210" s="28"/>
      <c r="Y210" s="28"/>
      <c r="Z210" s="28"/>
      <c r="AA210" s="28"/>
      <c r="AB210" s="28"/>
      <c r="AC210" s="28"/>
      <c r="AD210" s="28"/>
      <c r="AE210" s="28"/>
      <c r="AF210" s="28"/>
      <c r="AG210" s="28"/>
      <c r="AH210" s="28"/>
      <c r="AI210" s="28"/>
      <c r="AJ210" s="28"/>
      <c r="AK210" s="28"/>
      <c r="AL210" s="28"/>
    </row>
    <row r="211" spans="1:114" s="137" customFormat="1" ht="15.75" customHeight="1">
      <c r="A211" s="123">
        <f t="shared" si="18"/>
        <v>183</v>
      </c>
      <c r="B211" s="101">
        <f t="shared" si="19"/>
        <v>15</v>
      </c>
      <c r="C211" s="102" t="s">
        <v>473</v>
      </c>
      <c r="D211" s="103" t="s">
        <v>497</v>
      </c>
      <c r="E211" s="102" t="s">
        <v>3</v>
      </c>
      <c r="F211" s="104">
        <f>44639+15340</f>
        <v>59979</v>
      </c>
      <c r="G211" s="105"/>
      <c r="H211" s="106">
        <f>89100+29160</f>
        <v>118260</v>
      </c>
      <c r="I211" s="107" t="s">
        <v>696</v>
      </c>
      <c r="J211" s="26"/>
      <c r="K211" s="43"/>
      <c r="L211" s="27"/>
      <c r="M211" s="27"/>
      <c r="N211" s="27"/>
      <c r="O211" s="27"/>
      <c r="P211" s="27"/>
      <c r="Q211" s="27"/>
      <c r="R211" s="27"/>
      <c r="S211" s="27"/>
      <c r="T211" s="27"/>
      <c r="U211" s="27"/>
      <c r="V211" s="28"/>
      <c r="W211" s="28"/>
      <c r="X211" s="28"/>
      <c r="Y211" s="28"/>
      <c r="Z211" s="28"/>
      <c r="AA211" s="28"/>
      <c r="AB211" s="28"/>
      <c r="AC211" s="28"/>
      <c r="AD211" s="28"/>
      <c r="AE211" s="28"/>
      <c r="AF211" s="28"/>
      <c r="AG211" s="28"/>
      <c r="AH211" s="28"/>
      <c r="AI211" s="28"/>
      <c r="AJ211" s="28"/>
      <c r="AK211" s="28"/>
      <c r="AL211" s="28"/>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row>
    <row r="212" spans="1:114" s="138" customFormat="1" ht="15.75" customHeight="1">
      <c r="A212" s="126">
        <f t="shared" si="18"/>
        <v>184</v>
      </c>
      <c r="B212" s="127">
        <f t="shared" si="19"/>
        <v>16</v>
      </c>
      <c r="C212" s="128" t="s">
        <v>436</v>
      </c>
      <c r="D212" s="129" t="s">
        <v>437</v>
      </c>
      <c r="E212" s="128" t="s">
        <v>467</v>
      </c>
      <c r="F212" s="130">
        <v>2150000</v>
      </c>
      <c r="G212" s="131"/>
      <c r="H212" s="132">
        <v>350000</v>
      </c>
      <c r="I212" s="134" t="s">
        <v>696</v>
      </c>
      <c r="J212" s="26"/>
      <c r="K212" s="43"/>
      <c r="L212" s="27"/>
      <c r="M212" s="27"/>
      <c r="N212" s="27"/>
      <c r="O212" s="27"/>
      <c r="P212" s="27"/>
      <c r="Q212" s="27"/>
      <c r="R212" s="27"/>
      <c r="S212" s="27"/>
      <c r="T212" s="27"/>
      <c r="U212" s="27"/>
      <c r="V212" s="28"/>
      <c r="W212" s="28"/>
      <c r="X212" s="28"/>
      <c r="Y212" s="28"/>
      <c r="Z212" s="28"/>
      <c r="AA212" s="28"/>
      <c r="AB212" s="28"/>
      <c r="AC212" s="28"/>
      <c r="AD212" s="28"/>
      <c r="AE212" s="28"/>
      <c r="AF212" s="28"/>
      <c r="AG212" s="28"/>
      <c r="AH212" s="28"/>
      <c r="AI212" s="28"/>
      <c r="AJ212" s="28"/>
      <c r="AK212" s="28"/>
      <c r="AL212" s="28"/>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row>
    <row r="213" spans="1:114" s="30" customFormat="1" ht="15.75" customHeight="1">
      <c r="A213" s="282" t="s">
        <v>179</v>
      </c>
      <c r="B213" s="283"/>
      <c r="C213" s="283"/>
      <c r="D213" s="283"/>
      <c r="E213" s="22"/>
      <c r="F213" s="23">
        <f>SUM(F197:F212)</f>
        <v>283586874.63424045</v>
      </c>
      <c r="G213" s="23"/>
      <c r="H213" s="24">
        <f>SUM(H197:H212)</f>
        <v>83171600</v>
      </c>
      <c r="I213" s="25"/>
      <c r="J213" s="26"/>
      <c r="K213" s="27"/>
      <c r="L213" s="27"/>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row>
    <row r="214" spans="1:114" s="38" customFormat="1" ht="15.75" customHeight="1">
      <c r="A214" s="291">
        <v>2000</v>
      </c>
      <c r="B214" s="292"/>
      <c r="C214" s="292"/>
      <c r="D214" s="292"/>
      <c r="E214" s="292"/>
      <c r="F214" s="292"/>
      <c r="G214" s="292"/>
      <c r="H214" s="292"/>
      <c r="I214" s="293"/>
      <c r="J214" s="26"/>
      <c r="K214" s="43"/>
      <c r="L214" s="27"/>
      <c r="M214" s="27"/>
      <c r="N214" s="27"/>
      <c r="O214" s="27"/>
      <c r="P214" s="27"/>
      <c r="Q214" s="27"/>
      <c r="R214" s="27"/>
      <c r="S214" s="27"/>
      <c r="T214" s="27"/>
      <c r="U214" s="27"/>
      <c r="V214" s="28"/>
      <c r="W214" s="28"/>
      <c r="X214" s="28"/>
      <c r="Y214" s="28"/>
      <c r="Z214" s="28"/>
      <c r="AA214" s="28"/>
      <c r="AB214" s="28"/>
      <c r="AC214" s="28"/>
      <c r="AD214" s="28"/>
      <c r="AE214" s="28"/>
      <c r="AF214" s="28"/>
      <c r="AG214" s="28"/>
      <c r="AH214" s="28"/>
      <c r="AI214" s="28"/>
      <c r="AJ214" s="28"/>
      <c r="AK214" s="28"/>
      <c r="AL214" s="28"/>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row>
    <row r="215" spans="1:38" s="29" customFormat="1" ht="15.75" customHeight="1">
      <c r="A215" s="75">
        <f>+A212+1</f>
        <v>185</v>
      </c>
      <c r="B215" s="76">
        <f>+B213+1</f>
        <v>1</v>
      </c>
      <c r="C215" s="77" t="s">
        <v>155</v>
      </c>
      <c r="D215" s="78" t="s">
        <v>156</v>
      </c>
      <c r="E215" s="77" t="s">
        <v>597</v>
      </c>
      <c r="F215" s="98">
        <f>60000*5</f>
        <v>300000</v>
      </c>
      <c r="G215" s="99"/>
      <c r="H215" s="79">
        <v>10729334</v>
      </c>
      <c r="I215" s="81" t="s">
        <v>696</v>
      </c>
      <c r="J215" s="26"/>
      <c r="K215" s="43"/>
      <c r="L215" s="27"/>
      <c r="M215" s="27"/>
      <c r="N215" s="27"/>
      <c r="O215" s="27"/>
      <c r="P215" s="27"/>
      <c r="Q215" s="27"/>
      <c r="R215" s="27"/>
      <c r="S215" s="27"/>
      <c r="T215" s="27"/>
      <c r="U215" s="27"/>
      <c r="V215" s="28"/>
      <c r="W215" s="28"/>
      <c r="X215" s="28"/>
      <c r="Y215" s="28"/>
      <c r="Z215" s="28"/>
      <c r="AA215" s="28"/>
      <c r="AB215" s="28"/>
      <c r="AC215" s="28"/>
      <c r="AD215" s="28"/>
      <c r="AE215" s="28"/>
      <c r="AF215" s="28"/>
      <c r="AG215" s="28"/>
      <c r="AH215" s="28"/>
      <c r="AI215" s="28"/>
      <c r="AJ215" s="28"/>
      <c r="AK215" s="28"/>
      <c r="AL215" s="28"/>
    </row>
    <row r="216" spans="1:38" s="29" customFormat="1" ht="15.75" customHeight="1">
      <c r="A216" s="123">
        <f>+A215+1</f>
        <v>186</v>
      </c>
      <c r="B216" s="101">
        <f>+B215+1</f>
        <v>2</v>
      </c>
      <c r="C216" s="102" t="s">
        <v>407</v>
      </c>
      <c r="D216" s="103" t="s">
        <v>944</v>
      </c>
      <c r="E216" s="102" t="s">
        <v>598</v>
      </c>
      <c r="F216" s="104">
        <f>291876394.5/3.481</f>
        <v>83848432.77793738</v>
      </c>
      <c r="G216" s="105"/>
      <c r="H216" s="106"/>
      <c r="I216" s="107"/>
      <c r="J216" s="26"/>
      <c r="K216" s="43"/>
      <c r="L216" s="27"/>
      <c r="M216" s="27"/>
      <c r="N216" s="27"/>
      <c r="O216" s="27"/>
      <c r="P216" s="27"/>
      <c r="Q216" s="27"/>
      <c r="R216" s="27"/>
      <c r="S216" s="27"/>
      <c r="T216" s="27"/>
      <c r="U216" s="27"/>
      <c r="V216" s="28"/>
      <c r="W216" s="28"/>
      <c r="X216" s="28"/>
      <c r="Y216" s="28"/>
      <c r="Z216" s="28"/>
      <c r="AA216" s="28"/>
      <c r="AB216" s="28"/>
      <c r="AC216" s="28"/>
      <c r="AD216" s="28"/>
      <c r="AE216" s="28"/>
      <c r="AF216" s="28"/>
      <c r="AG216" s="28"/>
      <c r="AH216" s="28"/>
      <c r="AI216" s="28"/>
      <c r="AJ216" s="28"/>
      <c r="AK216" s="28"/>
      <c r="AL216" s="28"/>
    </row>
    <row r="217" spans="1:114" s="57" customFormat="1" ht="15.75" customHeight="1">
      <c r="A217" s="123">
        <f>A216+1</f>
        <v>187</v>
      </c>
      <c r="B217" s="101">
        <f>+B216+1</f>
        <v>3</v>
      </c>
      <c r="C217" s="102" t="s">
        <v>412</v>
      </c>
      <c r="D217" s="103" t="s">
        <v>945</v>
      </c>
      <c r="E217" s="102" t="s">
        <v>594</v>
      </c>
      <c r="F217" s="104"/>
      <c r="G217" s="105"/>
      <c r="H217" s="106">
        <v>1600000000</v>
      </c>
      <c r="I217" s="107"/>
      <c r="J217" s="26"/>
      <c r="K217" s="43"/>
      <c r="L217" s="27"/>
      <c r="M217" s="27"/>
      <c r="N217" s="27"/>
      <c r="O217" s="27"/>
      <c r="P217" s="27"/>
      <c r="Q217" s="27"/>
      <c r="R217" s="27"/>
      <c r="S217" s="27"/>
      <c r="T217" s="27"/>
      <c r="U217" s="27"/>
      <c r="V217" s="28"/>
      <c r="W217" s="28"/>
      <c r="X217" s="28"/>
      <c r="Y217" s="28"/>
      <c r="Z217" s="28"/>
      <c r="AA217" s="28"/>
      <c r="AB217" s="28"/>
      <c r="AC217" s="28"/>
      <c r="AD217" s="28"/>
      <c r="AE217" s="28"/>
      <c r="AF217" s="28"/>
      <c r="AG217" s="28"/>
      <c r="AH217" s="28"/>
      <c r="AI217" s="28"/>
      <c r="AJ217" s="28"/>
      <c r="AK217" s="28"/>
      <c r="AL217" s="28"/>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row>
    <row r="218" spans="1:114" s="58" customFormat="1" ht="15.75" customHeight="1">
      <c r="A218" s="123">
        <f>A217+1</f>
        <v>188</v>
      </c>
      <c r="B218" s="101">
        <f>+B217+1</f>
        <v>4</v>
      </c>
      <c r="C218" s="102" t="s">
        <v>408</v>
      </c>
      <c r="D218" s="103" t="s">
        <v>409</v>
      </c>
      <c r="E218" s="102" t="s">
        <v>598</v>
      </c>
      <c r="F218" s="104">
        <v>9000009</v>
      </c>
      <c r="G218" s="105"/>
      <c r="H218" s="106"/>
      <c r="I218" s="107"/>
      <c r="J218" s="26"/>
      <c r="K218" s="43"/>
      <c r="L218" s="27"/>
      <c r="M218" s="27"/>
      <c r="N218" s="27"/>
      <c r="O218" s="27"/>
      <c r="P218" s="27"/>
      <c r="Q218" s="27"/>
      <c r="R218" s="27"/>
      <c r="S218" s="27"/>
      <c r="T218" s="27"/>
      <c r="U218" s="27"/>
      <c r="V218" s="28"/>
      <c r="W218" s="28"/>
      <c r="X218" s="28"/>
      <c r="Y218" s="28"/>
      <c r="Z218" s="28"/>
      <c r="AA218" s="28"/>
      <c r="AB218" s="28"/>
      <c r="AC218" s="28"/>
      <c r="AD218" s="28"/>
      <c r="AE218" s="28"/>
      <c r="AF218" s="28"/>
      <c r="AG218" s="28"/>
      <c r="AH218" s="28"/>
      <c r="AI218" s="28"/>
      <c r="AJ218" s="28"/>
      <c r="AK218" s="28"/>
      <c r="AL218" s="28"/>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row>
    <row r="219" spans="1:114" s="59" customFormat="1" ht="15.75" customHeight="1">
      <c r="A219" s="123">
        <f>A218+1</f>
        <v>189</v>
      </c>
      <c r="B219" s="101">
        <f>+B218+1</f>
        <v>5</v>
      </c>
      <c r="C219" s="102" t="s">
        <v>90</v>
      </c>
      <c r="D219" s="103" t="s">
        <v>583</v>
      </c>
      <c r="E219" s="102" t="s">
        <v>3</v>
      </c>
      <c r="F219" s="104">
        <v>445008</v>
      </c>
      <c r="G219" s="105"/>
      <c r="H219" s="106">
        <v>198210</v>
      </c>
      <c r="I219" s="107" t="s">
        <v>696</v>
      </c>
      <c r="J219" s="26"/>
      <c r="K219" s="43"/>
      <c r="L219" s="27"/>
      <c r="M219" s="27"/>
      <c r="N219" s="27"/>
      <c r="O219" s="27"/>
      <c r="P219" s="27"/>
      <c r="Q219" s="27"/>
      <c r="R219" s="27"/>
      <c r="S219" s="27"/>
      <c r="T219" s="27"/>
      <c r="U219" s="27"/>
      <c r="V219" s="28"/>
      <c r="W219" s="28"/>
      <c r="X219" s="28"/>
      <c r="Y219" s="28"/>
      <c r="Z219" s="28"/>
      <c r="AA219" s="28"/>
      <c r="AB219" s="28"/>
      <c r="AC219" s="28"/>
      <c r="AD219" s="28"/>
      <c r="AE219" s="28"/>
      <c r="AF219" s="28"/>
      <c r="AG219" s="28"/>
      <c r="AH219" s="28"/>
      <c r="AI219" s="28"/>
      <c r="AJ219" s="28"/>
      <c r="AK219" s="28"/>
      <c r="AL219" s="28"/>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row>
    <row r="220" spans="1:38" s="29" customFormat="1" ht="15.75" customHeight="1">
      <c r="A220" s="123">
        <f>A219+1</f>
        <v>190</v>
      </c>
      <c r="B220" s="101">
        <f>+B219+1</f>
        <v>6</v>
      </c>
      <c r="C220" s="102" t="s">
        <v>352</v>
      </c>
      <c r="D220" s="103" t="s">
        <v>353</v>
      </c>
      <c r="E220" s="102" t="s">
        <v>596</v>
      </c>
      <c r="F220" s="104">
        <v>262550</v>
      </c>
      <c r="G220" s="105"/>
      <c r="H220" s="106"/>
      <c r="I220" s="107"/>
      <c r="J220" s="26"/>
      <c r="K220" s="43"/>
      <c r="L220" s="27"/>
      <c r="M220" s="27"/>
      <c r="N220" s="27"/>
      <c r="O220" s="27"/>
      <c r="P220" s="27"/>
      <c r="Q220" s="27"/>
      <c r="R220" s="27"/>
      <c r="S220" s="27"/>
      <c r="T220" s="27"/>
      <c r="U220" s="27"/>
      <c r="V220" s="28"/>
      <c r="W220" s="28"/>
      <c r="X220" s="28"/>
      <c r="Y220" s="28"/>
      <c r="Z220" s="28"/>
      <c r="AA220" s="28"/>
      <c r="AB220" s="28"/>
      <c r="AC220" s="28"/>
      <c r="AD220" s="28"/>
      <c r="AE220" s="28"/>
      <c r="AF220" s="28"/>
      <c r="AG220" s="28"/>
      <c r="AH220" s="28"/>
      <c r="AI220" s="28"/>
      <c r="AJ220" s="28"/>
      <c r="AK220" s="28"/>
      <c r="AL220" s="28"/>
    </row>
    <row r="221" spans="1:114" s="60" customFormat="1" ht="15.75" customHeight="1">
      <c r="A221" s="126">
        <f>A220+1</f>
        <v>191</v>
      </c>
      <c r="B221" s="127">
        <f>+B220+1</f>
        <v>7</v>
      </c>
      <c r="C221" s="128" t="s">
        <v>177</v>
      </c>
      <c r="D221" s="129" t="s">
        <v>553</v>
      </c>
      <c r="E221" s="128" t="s">
        <v>736</v>
      </c>
      <c r="F221" s="130">
        <v>1191668.91</v>
      </c>
      <c r="G221" s="131"/>
      <c r="H221" s="132"/>
      <c r="I221" s="134"/>
      <c r="J221" s="26"/>
      <c r="K221" s="43"/>
      <c r="L221" s="27"/>
      <c r="M221" s="27"/>
      <c r="N221" s="27"/>
      <c r="O221" s="27"/>
      <c r="P221" s="27"/>
      <c r="Q221" s="27"/>
      <c r="R221" s="27"/>
      <c r="S221" s="27"/>
      <c r="T221" s="27"/>
      <c r="U221" s="27"/>
      <c r="V221" s="28"/>
      <c r="W221" s="28"/>
      <c r="X221" s="28"/>
      <c r="Y221" s="28"/>
      <c r="Z221" s="28"/>
      <c r="AA221" s="28"/>
      <c r="AB221" s="28"/>
      <c r="AC221" s="28"/>
      <c r="AD221" s="28"/>
      <c r="AE221" s="28"/>
      <c r="AF221" s="28"/>
      <c r="AG221" s="28"/>
      <c r="AH221" s="28"/>
      <c r="AI221" s="28"/>
      <c r="AJ221" s="28"/>
      <c r="AK221" s="28"/>
      <c r="AL221" s="28"/>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row>
    <row r="222" spans="1:114" s="30" customFormat="1" ht="15.75" customHeight="1">
      <c r="A222" s="282" t="s">
        <v>406</v>
      </c>
      <c r="B222" s="283"/>
      <c r="C222" s="283"/>
      <c r="D222" s="283"/>
      <c r="E222" s="22"/>
      <c r="F222" s="23">
        <f>SUM(F215:F221)</f>
        <v>95047668.68793738</v>
      </c>
      <c r="G222" s="23"/>
      <c r="H222" s="24">
        <f>SUM(H215:H221)</f>
        <v>1610927544</v>
      </c>
      <c r="I222" s="25"/>
      <c r="J222" s="26"/>
      <c r="K222" s="27"/>
      <c r="L222" s="27"/>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row>
    <row r="223" spans="1:114" s="38" customFormat="1" ht="15.75" customHeight="1">
      <c r="A223" s="291">
        <v>2001</v>
      </c>
      <c r="B223" s="292"/>
      <c r="C223" s="292"/>
      <c r="D223" s="292"/>
      <c r="E223" s="292"/>
      <c r="F223" s="292"/>
      <c r="G223" s="292"/>
      <c r="H223" s="292"/>
      <c r="I223" s="293"/>
      <c r="J223" s="26"/>
      <c r="K223" s="43"/>
      <c r="L223" s="27"/>
      <c r="M223" s="27"/>
      <c r="N223" s="27"/>
      <c r="O223" s="27"/>
      <c r="P223" s="27"/>
      <c r="Q223" s="27"/>
      <c r="R223" s="27"/>
      <c r="S223" s="27"/>
      <c r="T223" s="27"/>
      <c r="U223" s="27"/>
      <c r="V223" s="28"/>
      <c r="W223" s="28"/>
      <c r="X223" s="28"/>
      <c r="Y223" s="28"/>
      <c r="Z223" s="28"/>
      <c r="AA223" s="28"/>
      <c r="AB223" s="28"/>
      <c r="AC223" s="28"/>
      <c r="AD223" s="28"/>
      <c r="AE223" s="28"/>
      <c r="AF223" s="28"/>
      <c r="AG223" s="28"/>
      <c r="AH223" s="28"/>
      <c r="AI223" s="28"/>
      <c r="AJ223" s="28"/>
      <c r="AK223" s="28"/>
      <c r="AL223" s="28"/>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row>
    <row r="224" spans="1:115" s="62" customFormat="1" ht="15.75" customHeight="1">
      <c r="A224" s="123">
        <f>+A221+1</f>
        <v>192</v>
      </c>
      <c r="B224" s="101">
        <f aca="true" t="shared" si="20" ref="B224:B236">+B223+1</f>
        <v>1</v>
      </c>
      <c r="C224" s="102" t="s">
        <v>176</v>
      </c>
      <c r="D224" s="103" t="s">
        <v>946</v>
      </c>
      <c r="E224" s="102" t="s">
        <v>597</v>
      </c>
      <c r="F224" s="104">
        <f>50000+100000+400000</f>
        <v>550000</v>
      </c>
      <c r="G224" s="105"/>
      <c r="H224" s="106">
        <v>2100000</v>
      </c>
      <c r="I224" s="107" t="s">
        <v>696</v>
      </c>
      <c r="J224" s="26"/>
      <c r="K224" s="43"/>
      <c r="L224" s="27"/>
      <c r="M224" s="27"/>
      <c r="N224" s="27"/>
      <c r="O224" s="27"/>
      <c r="P224" s="27"/>
      <c r="Q224" s="27"/>
      <c r="R224" s="27"/>
      <c r="S224" s="27"/>
      <c r="T224" s="27"/>
      <c r="U224" s="27"/>
      <c r="V224" s="28"/>
      <c r="W224" s="28"/>
      <c r="X224" s="28"/>
      <c r="Y224" s="28"/>
      <c r="Z224" s="28"/>
      <c r="AA224" s="28"/>
      <c r="AB224" s="28"/>
      <c r="AC224" s="28"/>
      <c r="AD224" s="28"/>
      <c r="AE224" s="28"/>
      <c r="AF224" s="28"/>
      <c r="AG224" s="28"/>
      <c r="AH224" s="28"/>
      <c r="AI224" s="28"/>
      <c r="AJ224" s="28"/>
      <c r="AK224" s="28"/>
      <c r="AL224" s="28"/>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61"/>
    </row>
    <row r="225" spans="1:38" s="29" customFormat="1" ht="15.75" customHeight="1">
      <c r="A225" s="123">
        <f aca="true" t="shared" si="21" ref="A225:A236">+A224+1</f>
        <v>193</v>
      </c>
      <c r="B225" s="101">
        <f t="shared" si="20"/>
        <v>2</v>
      </c>
      <c r="C225" s="102" t="s">
        <v>169</v>
      </c>
      <c r="D225" s="103" t="s">
        <v>216</v>
      </c>
      <c r="E225" s="102" t="s">
        <v>3</v>
      </c>
      <c r="F225" s="104">
        <f>172572-30000</f>
        <v>142572</v>
      </c>
      <c r="G225" s="105"/>
      <c r="H225" s="106">
        <f>1330439-350000</f>
        <v>980439</v>
      </c>
      <c r="I225" s="107" t="s">
        <v>696</v>
      </c>
      <c r="J225" s="26"/>
      <c r="K225" s="43"/>
      <c r="L225" s="27"/>
      <c r="M225" s="27"/>
      <c r="N225" s="27"/>
      <c r="O225" s="27"/>
      <c r="P225" s="27"/>
      <c r="Q225" s="27"/>
      <c r="R225" s="27"/>
      <c r="S225" s="27"/>
      <c r="T225" s="27"/>
      <c r="U225" s="27"/>
      <c r="V225" s="28"/>
      <c r="W225" s="28"/>
      <c r="X225" s="28"/>
      <c r="Y225" s="28"/>
      <c r="Z225" s="28"/>
      <c r="AA225" s="28"/>
      <c r="AB225" s="28"/>
      <c r="AC225" s="28"/>
      <c r="AD225" s="28"/>
      <c r="AE225" s="28"/>
      <c r="AF225" s="28"/>
      <c r="AG225" s="28"/>
      <c r="AH225" s="28"/>
      <c r="AI225" s="28"/>
      <c r="AJ225" s="28"/>
      <c r="AK225" s="28"/>
      <c r="AL225" s="28"/>
    </row>
    <row r="226" spans="1:38" s="29" customFormat="1" ht="15.75" customHeight="1">
      <c r="A226" s="123">
        <f t="shared" si="21"/>
        <v>194</v>
      </c>
      <c r="B226" s="101">
        <f t="shared" si="20"/>
        <v>3</v>
      </c>
      <c r="C226" s="102" t="s">
        <v>170</v>
      </c>
      <c r="D226" s="103" t="s">
        <v>175</v>
      </c>
      <c r="E226" s="102" t="s">
        <v>597</v>
      </c>
      <c r="F226" s="104">
        <f>45000+75000+5000+10000+10000+28000+5000+21000+28000</f>
        <v>227000</v>
      </c>
      <c r="G226" s="105"/>
      <c r="H226" s="106"/>
      <c r="I226" s="107"/>
      <c r="J226" s="26"/>
      <c r="K226" s="43"/>
      <c r="L226" s="27"/>
      <c r="M226" s="27"/>
      <c r="N226" s="27"/>
      <c r="O226" s="27"/>
      <c r="P226" s="27"/>
      <c r="Q226" s="27"/>
      <c r="R226" s="27"/>
      <c r="S226" s="27"/>
      <c r="T226" s="27"/>
      <c r="U226" s="27"/>
      <c r="V226" s="28"/>
      <c r="W226" s="28"/>
      <c r="X226" s="28"/>
      <c r="Y226" s="28"/>
      <c r="Z226" s="28"/>
      <c r="AA226" s="28"/>
      <c r="AB226" s="28"/>
      <c r="AC226" s="28"/>
      <c r="AD226" s="28"/>
      <c r="AE226" s="28"/>
      <c r="AF226" s="28"/>
      <c r="AG226" s="28"/>
      <c r="AH226" s="28"/>
      <c r="AI226" s="28"/>
      <c r="AJ226" s="28"/>
      <c r="AK226" s="28"/>
      <c r="AL226" s="28"/>
    </row>
    <row r="227" spans="1:38" s="29" customFormat="1" ht="15.75" customHeight="1">
      <c r="A227" s="123">
        <f t="shared" si="21"/>
        <v>195</v>
      </c>
      <c r="B227" s="101">
        <f t="shared" si="20"/>
        <v>4</v>
      </c>
      <c r="C227" s="102" t="s">
        <v>171</v>
      </c>
      <c r="D227" s="103" t="s">
        <v>172</v>
      </c>
      <c r="E227" s="102" t="s">
        <v>597</v>
      </c>
      <c r="F227" s="104">
        <f>65260861.4/3.5</f>
        <v>18645960.4</v>
      </c>
      <c r="G227" s="105"/>
      <c r="H227" s="106"/>
      <c r="I227" s="107"/>
      <c r="J227" s="26"/>
      <c r="K227" s="43"/>
      <c r="L227" s="27"/>
      <c r="M227" s="27"/>
      <c r="N227" s="27"/>
      <c r="O227" s="27"/>
      <c r="P227" s="27"/>
      <c r="Q227" s="27"/>
      <c r="R227" s="27"/>
      <c r="S227" s="27"/>
      <c r="T227" s="27"/>
      <c r="U227" s="27"/>
      <c r="V227" s="28"/>
      <c r="W227" s="28"/>
      <c r="X227" s="28"/>
      <c r="Y227" s="28"/>
      <c r="Z227" s="28"/>
      <c r="AA227" s="28"/>
      <c r="AB227" s="28"/>
      <c r="AC227" s="28"/>
      <c r="AD227" s="28"/>
      <c r="AE227" s="28"/>
      <c r="AF227" s="28"/>
      <c r="AG227" s="28"/>
      <c r="AH227" s="28"/>
      <c r="AI227" s="28"/>
      <c r="AJ227" s="28"/>
      <c r="AK227" s="28"/>
      <c r="AL227" s="28"/>
    </row>
    <row r="228" spans="1:114" s="53" customFormat="1" ht="15.75" customHeight="1">
      <c r="A228" s="123">
        <f t="shared" si="21"/>
        <v>196</v>
      </c>
      <c r="B228" s="101">
        <f t="shared" si="20"/>
        <v>5</v>
      </c>
      <c r="C228" s="102" t="s">
        <v>180</v>
      </c>
      <c r="D228" s="103" t="s">
        <v>181</v>
      </c>
      <c r="E228" s="102" t="s">
        <v>598</v>
      </c>
      <c r="F228" s="104">
        <v>377552.67</v>
      </c>
      <c r="G228" s="105"/>
      <c r="H228" s="106"/>
      <c r="I228" s="107"/>
      <c r="J228" s="26"/>
      <c r="K228" s="43"/>
      <c r="L228" s="139"/>
      <c r="M228" s="27"/>
      <c r="N228" s="27"/>
      <c r="O228" s="73"/>
      <c r="P228" s="73"/>
      <c r="Q228" s="140"/>
      <c r="R228" s="27"/>
      <c r="S228" s="27"/>
      <c r="T228" s="27"/>
      <c r="U228" s="27"/>
      <c r="V228" s="28"/>
      <c r="W228" s="28"/>
      <c r="X228" s="28"/>
      <c r="Y228" s="28"/>
      <c r="Z228" s="28"/>
      <c r="AA228" s="28"/>
      <c r="AB228" s="28"/>
      <c r="AC228" s="28"/>
      <c r="AD228" s="28"/>
      <c r="AE228" s="28"/>
      <c r="AF228" s="28"/>
      <c r="AG228" s="28"/>
      <c r="AH228" s="28"/>
      <c r="AI228" s="28"/>
      <c r="AJ228" s="28"/>
      <c r="AK228" s="28"/>
      <c r="AL228" s="28"/>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row>
    <row r="229" spans="1:114" s="53" customFormat="1" ht="15.75" customHeight="1">
      <c r="A229" s="123">
        <f t="shared" si="21"/>
        <v>197</v>
      </c>
      <c r="B229" s="101">
        <f t="shared" si="20"/>
        <v>6</v>
      </c>
      <c r="C229" s="102" t="s">
        <v>184</v>
      </c>
      <c r="D229" s="103" t="s">
        <v>185</v>
      </c>
      <c r="E229" s="102" t="s">
        <v>3</v>
      </c>
      <c r="F229" s="104">
        <v>5018</v>
      </c>
      <c r="G229" s="105"/>
      <c r="H229" s="106">
        <v>86800</v>
      </c>
      <c r="I229" s="107" t="s">
        <v>696</v>
      </c>
      <c r="J229" s="26"/>
      <c r="K229" s="43"/>
      <c r="L229" s="27"/>
      <c r="M229" s="27"/>
      <c r="N229" s="27"/>
      <c r="O229" s="27"/>
      <c r="P229" s="27"/>
      <c r="Q229" s="27"/>
      <c r="R229" s="27"/>
      <c r="S229" s="27"/>
      <c r="T229" s="27"/>
      <c r="U229" s="27"/>
      <c r="V229" s="28"/>
      <c r="W229" s="28"/>
      <c r="X229" s="28"/>
      <c r="Y229" s="28"/>
      <c r="Z229" s="28"/>
      <c r="AA229" s="28"/>
      <c r="AB229" s="28"/>
      <c r="AC229" s="28"/>
      <c r="AD229" s="28"/>
      <c r="AE229" s="28"/>
      <c r="AF229" s="28"/>
      <c r="AG229" s="28"/>
      <c r="AH229" s="28"/>
      <c r="AI229" s="28"/>
      <c r="AJ229" s="28"/>
      <c r="AK229" s="28"/>
      <c r="AL229" s="28"/>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row>
    <row r="230" spans="1:114" s="53" customFormat="1" ht="15.75" customHeight="1">
      <c r="A230" s="123">
        <f t="shared" si="21"/>
        <v>198</v>
      </c>
      <c r="B230" s="101">
        <f t="shared" si="20"/>
        <v>7</v>
      </c>
      <c r="C230" s="102" t="s">
        <v>186</v>
      </c>
      <c r="D230" s="103" t="s">
        <v>187</v>
      </c>
      <c r="E230" s="102" t="s">
        <v>598</v>
      </c>
      <c r="F230" s="104">
        <v>227101000</v>
      </c>
      <c r="G230" s="105"/>
      <c r="H230" s="106">
        <v>17500000</v>
      </c>
      <c r="I230" s="107" t="s">
        <v>696</v>
      </c>
      <c r="J230" s="26"/>
      <c r="K230" s="43"/>
      <c r="L230" s="27"/>
      <c r="M230" s="27"/>
      <c r="N230" s="27"/>
      <c r="O230" s="27"/>
      <c r="P230" s="27"/>
      <c r="Q230" s="27"/>
      <c r="R230" s="27"/>
      <c r="S230" s="27"/>
      <c r="T230" s="27"/>
      <c r="U230" s="27"/>
      <c r="V230" s="28"/>
      <c r="W230" s="28"/>
      <c r="X230" s="28"/>
      <c r="Y230" s="28"/>
      <c r="Z230" s="28"/>
      <c r="AA230" s="28"/>
      <c r="AB230" s="28"/>
      <c r="AC230" s="28"/>
      <c r="AD230" s="28"/>
      <c r="AE230" s="28"/>
      <c r="AF230" s="28"/>
      <c r="AG230" s="28"/>
      <c r="AH230" s="28"/>
      <c r="AI230" s="28"/>
      <c r="AJ230" s="28"/>
      <c r="AK230" s="28"/>
      <c r="AL230" s="28"/>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row>
    <row r="231" spans="1:114" s="53" customFormat="1" ht="15.75" customHeight="1">
      <c r="A231" s="123">
        <f t="shared" si="21"/>
        <v>199</v>
      </c>
      <c r="B231" s="101">
        <f t="shared" si="20"/>
        <v>8</v>
      </c>
      <c r="C231" s="102" t="s">
        <v>189</v>
      </c>
      <c r="D231" s="103" t="s">
        <v>947</v>
      </c>
      <c r="E231" s="102" t="s">
        <v>597</v>
      </c>
      <c r="F231" s="104">
        <v>1000000</v>
      </c>
      <c r="G231" s="105"/>
      <c r="H231" s="106"/>
      <c r="I231" s="107"/>
      <c r="J231" s="26"/>
      <c r="K231" s="43"/>
      <c r="L231" s="27"/>
      <c r="M231" s="27"/>
      <c r="N231" s="27"/>
      <c r="O231" s="27"/>
      <c r="P231" s="27"/>
      <c r="Q231" s="27"/>
      <c r="R231" s="27"/>
      <c r="S231" s="27"/>
      <c r="T231" s="27"/>
      <c r="U231" s="27"/>
      <c r="V231" s="28"/>
      <c r="W231" s="28"/>
      <c r="X231" s="28"/>
      <c r="Y231" s="28"/>
      <c r="Z231" s="28"/>
      <c r="AA231" s="28"/>
      <c r="AB231" s="28"/>
      <c r="AC231" s="28"/>
      <c r="AD231" s="28"/>
      <c r="AE231" s="28"/>
      <c r="AF231" s="28"/>
      <c r="AG231" s="28"/>
      <c r="AH231" s="28"/>
      <c r="AI231" s="28"/>
      <c r="AJ231" s="28"/>
      <c r="AK231" s="28"/>
      <c r="AL231" s="28"/>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row>
    <row r="232" spans="1:38" s="29" customFormat="1" ht="15.75" customHeight="1">
      <c r="A232" s="123">
        <f t="shared" si="21"/>
        <v>200</v>
      </c>
      <c r="B232" s="101">
        <f t="shared" si="20"/>
        <v>9</v>
      </c>
      <c r="C232" s="102" t="s">
        <v>200</v>
      </c>
      <c r="D232" s="103" t="s">
        <v>199</v>
      </c>
      <c r="E232" s="102" t="s">
        <v>3</v>
      </c>
      <c r="F232" s="104">
        <v>257000</v>
      </c>
      <c r="G232" s="105"/>
      <c r="H232" s="106">
        <v>3000000</v>
      </c>
      <c r="I232" s="107" t="s">
        <v>696</v>
      </c>
      <c r="J232" s="26"/>
      <c r="K232" s="43"/>
      <c r="L232" s="27"/>
      <c r="M232" s="27"/>
      <c r="N232" s="27"/>
      <c r="O232" s="27"/>
      <c r="P232" s="27"/>
      <c r="Q232" s="27"/>
      <c r="R232" s="27"/>
      <c r="S232" s="27"/>
      <c r="T232" s="27"/>
      <c r="U232" s="27"/>
      <c r="V232" s="28"/>
      <c r="W232" s="28"/>
      <c r="X232" s="28"/>
      <c r="Y232" s="28"/>
      <c r="Z232" s="28"/>
      <c r="AA232" s="28"/>
      <c r="AB232" s="28"/>
      <c r="AC232" s="28"/>
      <c r="AD232" s="28"/>
      <c r="AE232" s="28"/>
      <c r="AF232" s="28"/>
      <c r="AG232" s="28"/>
      <c r="AH232" s="28"/>
      <c r="AI232" s="28"/>
      <c r="AJ232" s="28"/>
      <c r="AK232" s="28"/>
      <c r="AL232" s="28"/>
    </row>
    <row r="233" spans="1:114" s="53" customFormat="1" ht="15.75" customHeight="1">
      <c r="A233" s="123">
        <f t="shared" si="21"/>
        <v>201</v>
      </c>
      <c r="B233" s="101">
        <f t="shared" si="20"/>
        <v>10</v>
      </c>
      <c r="C233" s="102" t="s">
        <v>198</v>
      </c>
      <c r="D233" s="103" t="s">
        <v>217</v>
      </c>
      <c r="E233" s="102" t="s">
        <v>3</v>
      </c>
      <c r="F233" s="104">
        <f>750000+36600</f>
        <v>786600</v>
      </c>
      <c r="G233" s="105"/>
      <c r="H233" s="106">
        <f>4000000+487960</f>
        <v>4487960</v>
      </c>
      <c r="I233" s="107" t="s">
        <v>696</v>
      </c>
      <c r="J233" s="26"/>
      <c r="K233" s="43"/>
      <c r="L233" s="27"/>
      <c r="M233" s="27"/>
      <c r="N233" s="27"/>
      <c r="O233" s="27"/>
      <c r="P233" s="27"/>
      <c r="Q233" s="27"/>
      <c r="R233" s="27"/>
      <c r="S233" s="27"/>
      <c r="T233" s="27"/>
      <c r="U233" s="27"/>
      <c r="V233" s="28"/>
      <c r="W233" s="28"/>
      <c r="X233" s="28"/>
      <c r="Y233" s="28"/>
      <c r="Z233" s="28"/>
      <c r="AA233" s="28"/>
      <c r="AB233" s="28"/>
      <c r="AC233" s="28"/>
      <c r="AD233" s="28"/>
      <c r="AE233" s="28"/>
      <c r="AF233" s="28"/>
      <c r="AG233" s="28"/>
      <c r="AH233" s="28"/>
      <c r="AI233" s="28"/>
      <c r="AJ233" s="28"/>
      <c r="AK233" s="28"/>
      <c r="AL233" s="28"/>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row>
    <row r="234" spans="1:38" s="29" customFormat="1" ht="15.75" customHeight="1">
      <c r="A234" s="123">
        <f t="shared" si="21"/>
        <v>202</v>
      </c>
      <c r="B234" s="101">
        <f t="shared" si="20"/>
        <v>11</v>
      </c>
      <c r="C234" s="102" t="s">
        <v>206</v>
      </c>
      <c r="D234" s="103" t="s">
        <v>202</v>
      </c>
      <c r="E234" s="102" t="s">
        <v>10</v>
      </c>
      <c r="F234" s="104">
        <f>330201+750000</f>
        <v>1080201</v>
      </c>
      <c r="G234" s="105"/>
      <c r="H234" s="106"/>
      <c r="I234" s="107"/>
      <c r="J234" s="26"/>
      <c r="K234" s="43"/>
      <c r="L234" s="141"/>
      <c r="M234" s="141"/>
      <c r="N234" s="141"/>
      <c r="O234" s="141"/>
      <c r="P234" s="141"/>
      <c r="Q234" s="27"/>
      <c r="R234" s="27"/>
      <c r="S234" s="27"/>
      <c r="T234" s="27"/>
      <c r="U234" s="27"/>
      <c r="V234" s="28"/>
      <c r="W234" s="28"/>
      <c r="X234" s="28"/>
      <c r="Y234" s="28"/>
      <c r="Z234" s="28"/>
      <c r="AA234" s="28"/>
      <c r="AB234" s="28"/>
      <c r="AC234" s="28"/>
      <c r="AD234" s="28"/>
      <c r="AE234" s="28"/>
      <c r="AF234" s="28"/>
      <c r="AG234" s="28"/>
      <c r="AH234" s="28"/>
      <c r="AI234" s="28"/>
      <c r="AJ234" s="28"/>
      <c r="AK234" s="28"/>
      <c r="AL234" s="28"/>
    </row>
    <row r="235" spans="1:38" s="29" customFormat="1" ht="15.75" customHeight="1">
      <c r="A235" s="123">
        <f t="shared" si="21"/>
        <v>203</v>
      </c>
      <c r="B235" s="101">
        <f t="shared" si="20"/>
        <v>12</v>
      </c>
      <c r="C235" s="102" t="s">
        <v>201</v>
      </c>
      <c r="D235" s="103" t="s">
        <v>224</v>
      </c>
      <c r="E235" s="102" t="s">
        <v>597</v>
      </c>
      <c r="F235" s="104">
        <v>4010000</v>
      </c>
      <c r="G235" s="105"/>
      <c r="H235" s="106">
        <v>3000000</v>
      </c>
      <c r="I235" s="107" t="s">
        <v>696</v>
      </c>
      <c r="J235" s="26"/>
      <c r="K235" s="43"/>
      <c r="L235" s="27"/>
      <c r="M235" s="27"/>
      <c r="N235" s="27"/>
      <c r="O235" s="27"/>
      <c r="P235" s="27"/>
      <c r="Q235" s="27"/>
      <c r="R235" s="27"/>
      <c r="S235" s="27"/>
      <c r="T235" s="27"/>
      <c r="U235" s="27"/>
      <c r="V235" s="28"/>
      <c r="W235" s="28"/>
      <c r="X235" s="28"/>
      <c r="Y235" s="28"/>
      <c r="Z235" s="28"/>
      <c r="AA235" s="28"/>
      <c r="AB235" s="28"/>
      <c r="AC235" s="28"/>
      <c r="AD235" s="28"/>
      <c r="AE235" s="28"/>
      <c r="AF235" s="28"/>
      <c r="AG235" s="28"/>
      <c r="AH235" s="28"/>
      <c r="AI235" s="28"/>
      <c r="AJ235" s="28"/>
      <c r="AK235" s="28"/>
      <c r="AL235" s="28"/>
    </row>
    <row r="236" spans="1:38" s="29" customFormat="1" ht="26.25" customHeight="1">
      <c r="A236" s="126">
        <f t="shared" si="21"/>
        <v>204</v>
      </c>
      <c r="B236" s="127">
        <f t="shared" si="20"/>
        <v>13</v>
      </c>
      <c r="C236" s="128" t="s">
        <v>205</v>
      </c>
      <c r="D236" s="142" t="s">
        <v>204</v>
      </c>
      <c r="E236" s="128" t="s">
        <v>10</v>
      </c>
      <c r="F236" s="130">
        <v>109432</v>
      </c>
      <c r="G236" s="131"/>
      <c r="H236" s="132"/>
      <c r="I236" s="134"/>
      <c r="J236" s="26"/>
      <c r="K236" s="43"/>
      <c r="L236" s="27"/>
      <c r="M236" s="27"/>
      <c r="N236" s="27"/>
      <c r="O236" s="27"/>
      <c r="P236" s="27"/>
      <c r="Q236" s="27"/>
      <c r="R236" s="27"/>
      <c r="S236" s="27"/>
      <c r="T236" s="27"/>
      <c r="U236" s="27"/>
      <c r="V236" s="28"/>
      <c r="W236" s="28"/>
      <c r="X236" s="28"/>
      <c r="Y236" s="28"/>
      <c r="Z236" s="28"/>
      <c r="AA236" s="28"/>
      <c r="AB236" s="28"/>
      <c r="AC236" s="28"/>
      <c r="AD236" s="28"/>
      <c r="AE236" s="28"/>
      <c r="AF236" s="28"/>
      <c r="AG236" s="28"/>
      <c r="AH236" s="28"/>
      <c r="AI236" s="28"/>
      <c r="AJ236" s="28"/>
      <c r="AK236" s="28"/>
      <c r="AL236" s="28"/>
    </row>
    <row r="237" spans="1:114" s="30" customFormat="1" ht="15.75" customHeight="1">
      <c r="A237" s="282" t="s">
        <v>226</v>
      </c>
      <c r="B237" s="283"/>
      <c r="C237" s="283"/>
      <c r="D237" s="283"/>
      <c r="E237" s="22"/>
      <c r="F237" s="23">
        <f>SUM(F224:F236)</f>
        <v>254292336.07</v>
      </c>
      <c r="G237" s="23"/>
      <c r="H237" s="24">
        <f>SUM(H224:H236)</f>
        <v>31155199</v>
      </c>
      <c r="I237" s="25"/>
      <c r="J237" s="26"/>
      <c r="K237" s="27"/>
      <c r="L237" s="27"/>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row>
    <row r="238" spans="1:114" s="38" customFormat="1" ht="15.75" customHeight="1">
      <c r="A238" s="291">
        <v>2002</v>
      </c>
      <c r="B238" s="292"/>
      <c r="C238" s="292"/>
      <c r="D238" s="292"/>
      <c r="E238" s="292"/>
      <c r="F238" s="292"/>
      <c r="G238" s="292"/>
      <c r="H238" s="292"/>
      <c r="I238" s="293"/>
      <c r="J238" s="26"/>
      <c r="K238" s="43"/>
      <c r="L238" s="27"/>
      <c r="M238" s="27"/>
      <c r="N238" s="27"/>
      <c r="O238" s="27"/>
      <c r="P238" s="27"/>
      <c r="Q238" s="27"/>
      <c r="R238" s="27"/>
      <c r="S238" s="27"/>
      <c r="T238" s="27"/>
      <c r="U238" s="27"/>
      <c r="V238" s="28"/>
      <c r="W238" s="28"/>
      <c r="X238" s="28"/>
      <c r="Y238" s="28"/>
      <c r="Z238" s="28"/>
      <c r="AA238" s="28"/>
      <c r="AB238" s="28"/>
      <c r="AC238" s="28"/>
      <c r="AD238" s="28"/>
      <c r="AE238" s="28"/>
      <c r="AF238" s="28"/>
      <c r="AG238" s="28"/>
      <c r="AH238" s="28"/>
      <c r="AI238" s="28"/>
      <c r="AJ238" s="28"/>
      <c r="AK238" s="28"/>
      <c r="AL238" s="28"/>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row>
    <row r="239" spans="1:38" s="29" customFormat="1" ht="15.75" customHeight="1">
      <c r="A239" s="123">
        <f>+A236+1</f>
        <v>205</v>
      </c>
      <c r="B239" s="101">
        <v>1</v>
      </c>
      <c r="C239" s="102" t="s">
        <v>211</v>
      </c>
      <c r="D239" s="103" t="s">
        <v>231</v>
      </c>
      <c r="E239" s="102" t="s">
        <v>10</v>
      </c>
      <c r="F239" s="104">
        <v>318000</v>
      </c>
      <c r="G239" s="105"/>
      <c r="H239" s="106"/>
      <c r="I239" s="107"/>
      <c r="J239" s="26"/>
      <c r="K239" s="43"/>
      <c r="L239" s="27"/>
      <c r="M239" s="27"/>
      <c r="N239" s="27"/>
      <c r="O239" s="27"/>
      <c r="P239" s="27"/>
      <c r="Q239" s="27"/>
      <c r="R239" s="27"/>
      <c r="S239" s="27"/>
      <c r="T239" s="27"/>
      <c r="U239" s="27"/>
      <c r="V239" s="28"/>
      <c r="W239" s="28"/>
      <c r="X239" s="28"/>
      <c r="Y239" s="28"/>
      <c r="Z239" s="28"/>
      <c r="AA239" s="28"/>
      <c r="AB239" s="28"/>
      <c r="AC239" s="28"/>
      <c r="AD239" s="28"/>
      <c r="AE239" s="28"/>
      <c r="AF239" s="28"/>
      <c r="AG239" s="28"/>
      <c r="AH239" s="28"/>
      <c r="AI239" s="28"/>
      <c r="AJ239" s="28"/>
      <c r="AK239" s="28"/>
      <c r="AL239" s="28"/>
    </row>
    <row r="240" spans="1:115" s="62" customFormat="1" ht="15.75" customHeight="1">
      <c r="A240" s="123">
        <f aca="true" t="shared" si="22" ref="A240:A248">+A239+1</f>
        <v>206</v>
      </c>
      <c r="B240" s="101">
        <f aca="true" t="shared" si="23" ref="B240:B248">+B239+1</f>
        <v>2</v>
      </c>
      <c r="C240" s="102" t="s">
        <v>212</v>
      </c>
      <c r="D240" s="103" t="s">
        <v>213</v>
      </c>
      <c r="E240" s="102" t="s">
        <v>10</v>
      </c>
      <c r="F240" s="104">
        <v>193210.09</v>
      </c>
      <c r="G240" s="105"/>
      <c r="H240" s="106"/>
      <c r="I240" s="107"/>
      <c r="J240" s="26"/>
      <c r="K240" s="43"/>
      <c r="L240" s="27"/>
      <c r="M240" s="27"/>
      <c r="N240" s="27"/>
      <c r="O240" s="27"/>
      <c r="P240" s="27"/>
      <c r="Q240" s="27"/>
      <c r="R240" s="27"/>
      <c r="S240" s="27"/>
      <c r="T240" s="27"/>
      <c r="U240" s="27"/>
      <c r="V240" s="28"/>
      <c r="W240" s="28"/>
      <c r="X240" s="28"/>
      <c r="Y240" s="28"/>
      <c r="Z240" s="28"/>
      <c r="AA240" s="28"/>
      <c r="AB240" s="28"/>
      <c r="AC240" s="28"/>
      <c r="AD240" s="28"/>
      <c r="AE240" s="28"/>
      <c r="AF240" s="28"/>
      <c r="AG240" s="28"/>
      <c r="AH240" s="28"/>
      <c r="AI240" s="28"/>
      <c r="AJ240" s="28"/>
      <c r="AK240" s="28"/>
      <c r="AL240" s="28"/>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61"/>
    </row>
    <row r="241" spans="1:38" s="29" customFormat="1" ht="15.75" customHeight="1">
      <c r="A241" s="123">
        <f t="shared" si="22"/>
        <v>207</v>
      </c>
      <c r="B241" s="101">
        <f t="shared" si="23"/>
        <v>3</v>
      </c>
      <c r="C241" s="102" t="s">
        <v>210</v>
      </c>
      <c r="D241" s="103" t="s">
        <v>207</v>
      </c>
      <c r="E241" s="102" t="s">
        <v>208</v>
      </c>
      <c r="F241" s="104">
        <f>1439037/3.45</f>
        <v>417112.17391304346</v>
      </c>
      <c r="G241" s="105"/>
      <c r="H241" s="106"/>
      <c r="I241" s="107"/>
      <c r="J241" s="26"/>
      <c r="K241" s="43"/>
      <c r="L241" s="27"/>
      <c r="M241" s="27"/>
      <c r="N241" s="27"/>
      <c r="O241" s="27"/>
      <c r="P241" s="27"/>
      <c r="Q241" s="27"/>
      <c r="R241" s="27"/>
      <c r="S241" s="27"/>
      <c r="T241" s="27"/>
      <c r="U241" s="27"/>
      <c r="V241" s="28"/>
      <c r="W241" s="28"/>
      <c r="X241" s="28"/>
      <c r="Y241" s="28"/>
      <c r="Z241" s="28"/>
      <c r="AA241" s="28"/>
      <c r="AB241" s="28"/>
      <c r="AC241" s="28"/>
      <c r="AD241" s="28"/>
      <c r="AE241" s="28"/>
      <c r="AF241" s="28"/>
      <c r="AG241" s="28"/>
      <c r="AH241" s="28"/>
      <c r="AI241" s="28"/>
      <c r="AJ241" s="28"/>
      <c r="AK241" s="28"/>
      <c r="AL241" s="28"/>
    </row>
    <row r="242" spans="1:38" s="29" customFormat="1" ht="15.75" customHeight="1">
      <c r="A242" s="123">
        <f t="shared" si="22"/>
        <v>208</v>
      </c>
      <c r="B242" s="101">
        <f t="shared" si="23"/>
        <v>4</v>
      </c>
      <c r="C242" s="102" t="s">
        <v>227</v>
      </c>
      <c r="D242" s="103" t="s">
        <v>228</v>
      </c>
      <c r="E242" s="102" t="s">
        <v>10</v>
      </c>
      <c r="F242" s="104">
        <v>170000</v>
      </c>
      <c r="G242" s="105"/>
      <c r="H242" s="106"/>
      <c r="I242" s="107"/>
      <c r="J242" s="26"/>
      <c r="K242" s="43"/>
      <c r="L242" s="27"/>
      <c r="M242" s="27"/>
      <c r="N242" s="27"/>
      <c r="O242" s="27"/>
      <c r="P242" s="27"/>
      <c r="Q242" s="27"/>
      <c r="R242" s="27"/>
      <c r="S242" s="27"/>
      <c r="T242" s="27"/>
      <c r="U242" s="27"/>
      <c r="V242" s="28"/>
      <c r="W242" s="28"/>
      <c r="X242" s="28"/>
      <c r="Y242" s="28"/>
      <c r="Z242" s="28"/>
      <c r="AA242" s="28"/>
      <c r="AB242" s="28"/>
      <c r="AC242" s="28"/>
      <c r="AD242" s="28"/>
      <c r="AE242" s="28"/>
      <c r="AF242" s="28"/>
      <c r="AG242" s="28"/>
      <c r="AH242" s="28"/>
      <c r="AI242" s="28"/>
      <c r="AJ242" s="28"/>
      <c r="AK242" s="28"/>
      <c r="AL242" s="28"/>
    </row>
    <row r="243" spans="1:38" s="29" customFormat="1" ht="15.75" customHeight="1">
      <c r="A243" s="123">
        <f t="shared" si="22"/>
        <v>209</v>
      </c>
      <c r="B243" s="101">
        <f t="shared" si="23"/>
        <v>5</v>
      </c>
      <c r="C243" s="102" t="s">
        <v>214</v>
      </c>
      <c r="D243" s="103" t="s">
        <v>215</v>
      </c>
      <c r="E243" s="102" t="s">
        <v>598</v>
      </c>
      <c r="F243" s="104">
        <f>83600000/3.46</f>
        <v>24161849.710982658</v>
      </c>
      <c r="G243" s="105"/>
      <c r="H243" s="106"/>
      <c r="I243" s="107"/>
      <c r="J243" s="26"/>
      <c r="K243" s="43"/>
      <c r="L243" s="27"/>
      <c r="M243" s="27"/>
      <c r="N243" s="27"/>
      <c r="O243" s="27"/>
      <c r="P243" s="27"/>
      <c r="Q243" s="27"/>
      <c r="R243" s="27"/>
      <c r="S243" s="27"/>
      <c r="T243" s="27"/>
      <c r="U243" s="27"/>
      <c r="V243" s="28"/>
      <c r="W243" s="28"/>
      <c r="X243" s="28"/>
      <c r="Y243" s="28"/>
      <c r="Z243" s="28"/>
      <c r="AA243" s="28"/>
      <c r="AB243" s="28"/>
      <c r="AC243" s="28"/>
      <c r="AD243" s="28"/>
      <c r="AE243" s="28"/>
      <c r="AF243" s="28"/>
      <c r="AG243" s="28"/>
      <c r="AH243" s="28"/>
      <c r="AI243" s="28"/>
      <c r="AJ243" s="28"/>
      <c r="AK243" s="28"/>
      <c r="AL243" s="28"/>
    </row>
    <row r="244" spans="1:38" s="29" customFormat="1" ht="15.75" customHeight="1">
      <c r="A244" s="123">
        <f t="shared" si="22"/>
        <v>210</v>
      </c>
      <c r="B244" s="101">
        <f t="shared" si="23"/>
        <v>6</v>
      </c>
      <c r="C244" s="102" t="s">
        <v>218</v>
      </c>
      <c r="D244" s="103" t="s">
        <v>948</v>
      </c>
      <c r="E244" s="102" t="s">
        <v>597</v>
      </c>
      <c r="F244" s="104">
        <v>750000</v>
      </c>
      <c r="G244" s="105"/>
      <c r="H244" s="106"/>
      <c r="I244" s="107"/>
      <c r="J244" s="26"/>
      <c r="K244" s="43"/>
      <c r="L244" s="27"/>
      <c r="M244" s="27"/>
      <c r="N244" s="27"/>
      <c r="O244" s="27"/>
      <c r="P244" s="27"/>
      <c r="Q244" s="27"/>
      <c r="R244" s="27"/>
      <c r="S244" s="27"/>
      <c r="T244" s="27"/>
      <c r="U244" s="27"/>
      <c r="V244" s="28"/>
      <c r="W244" s="28"/>
      <c r="X244" s="28"/>
      <c r="Y244" s="28"/>
      <c r="Z244" s="28"/>
      <c r="AA244" s="28"/>
      <c r="AB244" s="28"/>
      <c r="AC244" s="28"/>
      <c r="AD244" s="28"/>
      <c r="AE244" s="28"/>
      <c r="AF244" s="28"/>
      <c r="AG244" s="28"/>
      <c r="AH244" s="28"/>
      <c r="AI244" s="28"/>
      <c r="AJ244" s="28"/>
      <c r="AK244" s="28"/>
      <c r="AL244" s="28"/>
    </row>
    <row r="245" spans="1:38" s="29" customFormat="1" ht="15.75" customHeight="1">
      <c r="A245" s="123">
        <f t="shared" si="22"/>
        <v>211</v>
      </c>
      <c r="B245" s="101">
        <f t="shared" si="23"/>
        <v>7</v>
      </c>
      <c r="C245" s="102" t="s">
        <v>225</v>
      </c>
      <c r="D245" s="103" t="s">
        <v>233</v>
      </c>
      <c r="E245" s="102" t="s">
        <v>10</v>
      </c>
      <c r="F245" s="104">
        <f>200000+207000</f>
        <v>407000</v>
      </c>
      <c r="G245" s="105"/>
      <c r="H245" s="106"/>
      <c r="I245" s="107"/>
      <c r="J245" s="26"/>
      <c r="K245" s="43"/>
      <c r="L245" s="27"/>
      <c r="M245" s="27"/>
      <c r="N245" s="27"/>
      <c r="O245" s="27"/>
      <c r="P245" s="27"/>
      <c r="Q245" s="27"/>
      <c r="R245" s="27"/>
      <c r="S245" s="27"/>
      <c r="T245" s="27"/>
      <c r="U245" s="27"/>
      <c r="V245" s="28"/>
      <c r="W245" s="28"/>
      <c r="X245" s="28"/>
      <c r="Y245" s="28"/>
      <c r="Z245" s="28"/>
      <c r="AA245" s="28"/>
      <c r="AB245" s="28"/>
      <c r="AC245" s="28"/>
      <c r="AD245" s="28"/>
      <c r="AE245" s="28"/>
      <c r="AF245" s="28"/>
      <c r="AG245" s="28"/>
      <c r="AH245" s="28"/>
      <c r="AI245" s="28"/>
      <c r="AJ245" s="28"/>
      <c r="AK245" s="28"/>
      <c r="AL245" s="28"/>
    </row>
    <row r="246" spans="1:114" s="63" customFormat="1" ht="15.75" customHeight="1">
      <c r="A246" s="123">
        <f t="shared" si="22"/>
        <v>212</v>
      </c>
      <c r="B246" s="101">
        <f t="shared" si="23"/>
        <v>8</v>
      </c>
      <c r="C246" s="102" t="s">
        <v>219</v>
      </c>
      <c r="D246" s="103" t="s">
        <v>220</v>
      </c>
      <c r="E246" s="102" t="s">
        <v>598</v>
      </c>
      <c r="F246" s="104">
        <v>69713868</v>
      </c>
      <c r="G246" s="105"/>
      <c r="H246" s="106"/>
      <c r="I246" s="107"/>
      <c r="J246" s="26"/>
      <c r="K246" s="43"/>
      <c r="L246" s="27"/>
      <c r="M246" s="27"/>
      <c r="N246" s="27"/>
      <c r="O246" s="27"/>
      <c r="P246" s="27"/>
      <c r="Q246" s="27"/>
      <c r="R246" s="27"/>
      <c r="S246" s="27"/>
      <c r="T246" s="27"/>
      <c r="U246" s="27"/>
      <c r="V246" s="28"/>
      <c r="W246" s="28"/>
      <c r="X246" s="28"/>
      <c r="Y246" s="28"/>
      <c r="Z246" s="28"/>
      <c r="AA246" s="28"/>
      <c r="AB246" s="28"/>
      <c r="AC246" s="28"/>
      <c r="AD246" s="28"/>
      <c r="AE246" s="28"/>
      <c r="AF246" s="28"/>
      <c r="AG246" s="28"/>
      <c r="AH246" s="28"/>
      <c r="AI246" s="28"/>
      <c r="AJ246" s="28"/>
      <c r="AK246" s="28"/>
      <c r="AL246" s="28"/>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row>
    <row r="247" spans="1:38" s="29" customFormat="1" ht="15.75" customHeight="1">
      <c r="A247" s="123">
        <f t="shared" si="22"/>
        <v>213</v>
      </c>
      <c r="B247" s="101">
        <f t="shared" si="23"/>
        <v>9</v>
      </c>
      <c r="C247" s="102" t="s">
        <v>249</v>
      </c>
      <c r="D247" s="103" t="s">
        <v>250</v>
      </c>
      <c r="E247" s="102" t="s">
        <v>10</v>
      </c>
      <c r="F247" s="104">
        <f>72000+135000+23000+18000</f>
        <v>248000</v>
      </c>
      <c r="G247" s="105"/>
      <c r="H247" s="106"/>
      <c r="I247" s="107"/>
      <c r="J247" s="26"/>
      <c r="K247" s="43"/>
      <c r="L247" s="27"/>
      <c r="M247" s="27"/>
      <c r="N247" s="27"/>
      <c r="O247" s="27"/>
      <c r="P247" s="27"/>
      <c r="Q247" s="27"/>
      <c r="R247" s="27"/>
      <c r="S247" s="27"/>
      <c r="T247" s="27"/>
      <c r="U247" s="27"/>
      <c r="V247" s="28"/>
      <c r="W247" s="28"/>
      <c r="X247" s="28"/>
      <c r="Y247" s="28"/>
      <c r="Z247" s="28"/>
      <c r="AA247" s="28"/>
      <c r="AB247" s="28"/>
      <c r="AC247" s="28"/>
      <c r="AD247" s="28"/>
      <c r="AE247" s="28"/>
      <c r="AF247" s="28"/>
      <c r="AG247" s="28"/>
      <c r="AH247" s="28"/>
      <c r="AI247" s="28"/>
      <c r="AJ247" s="28"/>
      <c r="AK247" s="28"/>
      <c r="AL247" s="28"/>
    </row>
    <row r="248" spans="1:114" s="30" customFormat="1" ht="15.75" customHeight="1">
      <c r="A248" s="126">
        <f t="shared" si="22"/>
        <v>214</v>
      </c>
      <c r="B248" s="127">
        <f t="shared" si="23"/>
        <v>10</v>
      </c>
      <c r="C248" s="128" t="s">
        <v>253</v>
      </c>
      <c r="D248" s="129" t="s">
        <v>751</v>
      </c>
      <c r="E248" s="128" t="s">
        <v>597</v>
      </c>
      <c r="F248" s="130">
        <v>118474161.62</v>
      </c>
      <c r="G248" s="131" t="s">
        <v>752</v>
      </c>
      <c r="H248" s="132">
        <v>12113759</v>
      </c>
      <c r="I248" s="134" t="s">
        <v>753</v>
      </c>
      <c r="J248" s="26"/>
      <c r="K248" s="43"/>
      <c r="L248" s="27"/>
      <c r="M248" s="27"/>
      <c r="N248" s="27"/>
      <c r="O248" s="27"/>
      <c r="P248" s="27"/>
      <c r="Q248" s="27"/>
      <c r="R248" s="27"/>
      <c r="S248" s="27"/>
      <c r="T248" s="27"/>
      <c r="U248" s="27"/>
      <c r="V248" s="28"/>
      <c r="W248" s="28"/>
      <c r="X248" s="28"/>
      <c r="Y248" s="28"/>
      <c r="Z248" s="28"/>
      <c r="AA248" s="28"/>
      <c r="AB248" s="28"/>
      <c r="AC248" s="28"/>
      <c r="AD248" s="28"/>
      <c r="AE248" s="28"/>
      <c r="AF248" s="28"/>
      <c r="AG248" s="28"/>
      <c r="AH248" s="28"/>
      <c r="AI248" s="28"/>
      <c r="AJ248" s="28"/>
      <c r="AK248" s="28"/>
      <c r="AL248" s="28"/>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row>
    <row r="249" spans="1:114" s="30" customFormat="1" ht="15.75" customHeight="1">
      <c r="A249" s="282" t="s">
        <v>209</v>
      </c>
      <c r="B249" s="283"/>
      <c r="C249" s="283"/>
      <c r="D249" s="283"/>
      <c r="E249" s="22"/>
      <c r="F249" s="23">
        <f>SUM(F239:F248)</f>
        <v>214853201.59489572</v>
      </c>
      <c r="G249" s="23"/>
      <c r="H249" s="24">
        <f>SUM(H239:H248)</f>
        <v>12113759</v>
      </c>
      <c r="I249" s="25"/>
      <c r="J249" s="26"/>
      <c r="K249" s="27"/>
      <c r="L249" s="27"/>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row>
    <row r="250" spans="1:114" s="38" customFormat="1" ht="15.75" customHeight="1">
      <c r="A250" s="291">
        <v>2003</v>
      </c>
      <c r="B250" s="292"/>
      <c r="C250" s="292"/>
      <c r="D250" s="292"/>
      <c r="E250" s="292"/>
      <c r="F250" s="292"/>
      <c r="G250" s="292"/>
      <c r="H250" s="292"/>
      <c r="I250" s="293"/>
      <c r="J250" s="26"/>
      <c r="K250" s="43"/>
      <c r="L250" s="27"/>
      <c r="M250" s="27"/>
      <c r="N250" s="27"/>
      <c r="O250" s="27"/>
      <c r="P250" s="27"/>
      <c r="Q250" s="27"/>
      <c r="R250" s="27"/>
      <c r="S250" s="27"/>
      <c r="T250" s="27"/>
      <c r="U250" s="27"/>
      <c r="V250" s="28"/>
      <c r="W250" s="28"/>
      <c r="X250" s="28"/>
      <c r="Y250" s="28"/>
      <c r="Z250" s="28"/>
      <c r="AA250" s="28"/>
      <c r="AB250" s="28"/>
      <c r="AC250" s="28"/>
      <c r="AD250" s="28"/>
      <c r="AE250" s="28"/>
      <c r="AF250" s="28"/>
      <c r="AG250" s="28"/>
      <c r="AH250" s="28"/>
      <c r="AI250" s="28"/>
      <c r="AJ250" s="28"/>
      <c r="AK250" s="28"/>
      <c r="AL250" s="28"/>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row>
    <row r="251" spans="1:114" s="143" customFormat="1" ht="15.75" customHeight="1">
      <c r="A251" s="123">
        <f>+A248+1</f>
        <v>215</v>
      </c>
      <c r="B251" s="101">
        <v>1</v>
      </c>
      <c r="C251" s="102" t="s">
        <v>255</v>
      </c>
      <c r="D251" s="103" t="s">
        <v>256</v>
      </c>
      <c r="E251" s="102" t="s">
        <v>10</v>
      </c>
      <c r="F251" s="104">
        <f>637370.12/3.484</f>
        <v>182942.05510907003</v>
      </c>
      <c r="G251" s="105"/>
      <c r="H251" s="106"/>
      <c r="I251" s="107"/>
      <c r="J251" s="26"/>
      <c r="K251" s="43"/>
      <c r="L251" s="27"/>
      <c r="M251" s="27"/>
      <c r="N251" s="27"/>
      <c r="O251" s="27"/>
      <c r="P251" s="27"/>
      <c r="Q251" s="27"/>
      <c r="R251" s="27"/>
      <c r="S251" s="27"/>
      <c r="T251" s="27"/>
      <c r="U251" s="27"/>
      <c r="V251" s="28"/>
      <c r="W251" s="28"/>
      <c r="X251" s="28"/>
      <c r="Y251" s="28"/>
      <c r="Z251" s="28"/>
      <c r="AA251" s="28"/>
      <c r="AB251" s="28"/>
      <c r="AC251" s="28"/>
      <c r="AD251" s="28"/>
      <c r="AE251" s="28"/>
      <c r="AF251" s="28"/>
      <c r="AG251" s="28"/>
      <c r="AH251" s="28"/>
      <c r="AI251" s="28"/>
      <c r="AJ251" s="28"/>
      <c r="AK251" s="28"/>
      <c r="AL251" s="28"/>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row>
    <row r="252" spans="1:114" s="143" customFormat="1" ht="15.75" customHeight="1">
      <c r="A252" s="123">
        <f aca="true" t="shared" si="24" ref="A252:B258">+A251+1</f>
        <v>216</v>
      </c>
      <c r="B252" s="101">
        <f t="shared" si="24"/>
        <v>2</v>
      </c>
      <c r="C252" s="102" t="s">
        <v>257</v>
      </c>
      <c r="D252" s="103" t="s">
        <v>258</v>
      </c>
      <c r="E252" s="102" t="s">
        <v>597</v>
      </c>
      <c r="F252" s="104">
        <f>13000+26500+98500</f>
        <v>138000</v>
      </c>
      <c r="G252" s="105"/>
      <c r="H252" s="106"/>
      <c r="I252" s="107"/>
      <c r="J252" s="26"/>
      <c r="K252" s="43"/>
      <c r="L252" s="27"/>
      <c r="M252" s="27"/>
      <c r="N252" s="27"/>
      <c r="O252" s="27"/>
      <c r="P252" s="27"/>
      <c r="Q252" s="27"/>
      <c r="R252" s="27"/>
      <c r="S252" s="27"/>
      <c r="T252" s="27"/>
      <c r="U252" s="27"/>
      <c r="V252" s="28"/>
      <c r="W252" s="28"/>
      <c r="X252" s="28"/>
      <c r="Y252" s="28"/>
      <c r="Z252" s="28"/>
      <c r="AA252" s="28"/>
      <c r="AB252" s="28"/>
      <c r="AC252" s="28"/>
      <c r="AD252" s="28"/>
      <c r="AE252" s="28"/>
      <c r="AF252" s="28"/>
      <c r="AG252" s="28"/>
      <c r="AH252" s="28"/>
      <c r="AI252" s="28"/>
      <c r="AJ252" s="28"/>
      <c r="AK252" s="28"/>
      <c r="AL252" s="28"/>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row>
    <row r="253" spans="1:114" s="143" customFormat="1" ht="15.75" customHeight="1">
      <c r="A253" s="123">
        <f t="shared" si="24"/>
        <v>217</v>
      </c>
      <c r="B253" s="101">
        <f t="shared" si="24"/>
        <v>3</v>
      </c>
      <c r="C253" s="102" t="s">
        <v>259</v>
      </c>
      <c r="D253" s="103" t="s">
        <v>949</v>
      </c>
      <c r="E253" s="102" t="s">
        <v>594</v>
      </c>
      <c r="F253" s="104"/>
      <c r="G253" s="105"/>
      <c r="H253" s="106">
        <v>150000000</v>
      </c>
      <c r="I253" s="107"/>
      <c r="J253" s="26"/>
      <c r="K253" s="43"/>
      <c r="L253" s="27"/>
      <c r="M253" s="27"/>
      <c r="N253" s="27"/>
      <c r="O253" s="27"/>
      <c r="P253" s="27"/>
      <c r="Q253" s="27"/>
      <c r="R253" s="27"/>
      <c r="S253" s="27"/>
      <c r="T253" s="27"/>
      <c r="U253" s="27"/>
      <c r="V253" s="28"/>
      <c r="W253" s="28"/>
      <c r="X253" s="28"/>
      <c r="Y253" s="28"/>
      <c r="Z253" s="28"/>
      <c r="AA253" s="28"/>
      <c r="AB253" s="28"/>
      <c r="AC253" s="28"/>
      <c r="AD253" s="28"/>
      <c r="AE253" s="28"/>
      <c r="AF253" s="28"/>
      <c r="AG253" s="28"/>
      <c r="AH253" s="28"/>
      <c r="AI253" s="28"/>
      <c r="AJ253" s="28"/>
      <c r="AK253" s="28"/>
      <c r="AL253" s="28"/>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row>
    <row r="254" spans="1:114" s="143" customFormat="1" ht="15.75" customHeight="1">
      <c r="A254" s="123">
        <f t="shared" si="24"/>
        <v>218</v>
      </c>
      <c r="B254" s="101">
        <f t="shared" si="24"/>
        <v>4</v>
      </c>
      <c r="C254" s="102" t="s">
        <v>260</v>
      </c>
      <c r="D254" s="103" t="s">
        <v>950</v>
      </c>
      <c r="E254" s="102" t="s">
        <v>597</v>
      </c>
      <c r="F254" s="104">
        <v>1000000</v>
      </c>
      <c r="G254" s="105"/>
      <c r="H254" s="106">
        <v>3000000</v>
      </c>
      <c r="I254" s="107" t="s">
        <v>696</v>
      </c>
      <c r="J254" s="26"/>
      <c r="K254" s="43"/>
      <c r="L254" s="27"/>
      <c r="M254" s="27"/>
      <c r="N254" s="27"/>
      <c r="O254" s="27"/>
      <c r="P254" s="27"/>
      <c r="Q254" s="27"/>
      <c r="R254" s="27"/>
      <c r="S254" s="27"/>
      <c r="T254" s="27"/>
      <c r="U254" s="27"/>
      <c r="V254" s="28"/>
      <c r="W254" s="28"/>
      <c r="X254" s="28"/>
      <c r="Y254" s="28"/>
      <c r="Z254" s="28"/>
      <c r="AA254" s="28"/>
      <c r="AB254" s="28"/>
      <c r="AC254" s="28"/>
      <c r="AD254" s="28"/>
      <c r="AE254" s="28"/>
      <c r="AF254" s="28"/>
      <c r="AG254" s="28"/>
      <c r="AH254" s="28"/>
      <c r="AI254" s="28"/>
      <c r="AJ254" s="28"/>
      <c r="AK254" s="28"/>
      <c r="AL254" s="28"/>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row>
    <row r="255" spans="1:114" s="143" customFormat="1" ht="15.75" customHeight="1">
      <c r="A255" s="123">
        <f t="shared" si="24"/>
        <v>219</v>
      </c>
      <c r="B255" s="101">
        <f t="shared" si="24"/>
        <v>5</v>
      </c>
      <c r="C255" s="102" t="s">
        <v>261</v>
      </c>
      <c r="D255" s="103" t="s">
        <v>264</v>
      </c>
      <c r="E255" s="102" t="s">
        <v>3</v>
      </c>
      <c r="F255" s="104">
        <v>37000</v>
      </c>
      <c r="G255" s="105"/>
      <c r="H255" s="106">
        <v>293000</v>
      </c>
      <c r="I255" s="107" t="s">
        <v>696</v>
      </c>
      <c r="J255" s="26"/>
      <c r="K255" s="43"/>
      <c r="L255" s="27"/>
      <c r="M255" s="27"/>
      <c r="N255" s="27"/>
      <c r="O255" s="27"/>
      <c r="P255" s="27"/>
      <c r="Q255" s="27"/>
      <c r="R255" s="27"/>
      <c r="S255" s="27"/>
      <c r="T255" s="27"/>
      <c r="U255" s="27"/>
      <c r="V255" s="28"/>
      <c r="W255" s="28"/>
      <c r="X255" s="28"/>
      <c r="Y255" s="28"/>
      <c r="Z255" s="28"/>
      <c r="AA255" s="28"/>
      <c r="AB255" s="28"/>
      <c r="AC255" s="28"/>
      <c r="AD255" s="28"/>
      <c r="AE255" s="28"/>
      <c r="AF255" s="28"/>
      <c r="AG255" s="28"/>
      <c r="AH255" s="28"/>
      <c r="AI255" s="28"/>
      <c r="AJ255" s="28"/>
      <c r="AK255" s="28"/>
      <c r="AL255" s="28"/>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row>
    <row r="256" spans="1:114" s="143" customFormat="1" ht="15.75" customHeight="1">
      <c r="A256" s="123">
        <f t="shared" si="24"/>
        <v>220</v>
      </c>
      <c r="B256" s="101">
        <f t="shared" si="24"/>
        <v>6</v>
      </c>
      <c r="C256" s="102" t="s">
        <v>277</v>
      </c>
      <c r="D256" s="103" t="s">
        <v>263</v>
      </c>
      <c r="E256" s="102" t="s">
        <v>3</v>
      </c>
      <c r="F256" s="104">
        <v>17500</v>
      </c>
      <c r="G256" s="105"/>
      <c r="H256" s="106">
        <v>250000</v>
      </c>
      <c r="I256" s="107" t="s">
        <v>696</v>
      </c>
      <c r="J256" s="26"/>
      <c r="K256" s="43"/>
      <c r="L256" s="27"/>
      <c r="M256" s="27"/>
      <c r="N256" s="27"/>
      <c r="O256" s="27"/>
      <c r="P256" s="27"/>
      <c r="Q256" s="27"/>
      <c r="R256" s="27"/>
      <c r="S256" s="27"/>
      <c r="T256" s="27"/>
      <c r="U256" s="27"/>
      <c r="V256" s="28"/>
      <c r="W256" s="28"/>
      <c r="X256" s="28"/>
      <c r="Y256" s="28"/>
      <c r="Z256" s="28"/>
      <c r="AA256" s="28"/>
      <c r="AB256" s="28"/>
      <c r="AC256" s="28"/>
      <c r="AD256" s="28"/>
      <c r="AE256" s="28"/>
      <c r="AF256" s="28"/>
      <c r="AG256" s="28"/>
      <c r="AH256" s="28"/>
      <c r="AI256" s="28"/>
      <c r="AJ256" s="28"/>
      <c r="AK256" s="28"/>
      <c r="AL256" s="28"/>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row>
    <row r="257" spans="1:114" s="144" customFormat="1" ht="15.75" customHeight="1">
      <c r="A257" s="123">
        <f t="shared" si="24"/>
        <v>221</v>
      </c>
      <c r="B257" s="101">
        <f t="shared" si="24"/>
        <v>7</v>
      </c>
      <c r="C257" s="102" t="s">
        <v>262</v>
      </c>
      <c r="D257" s="103" t="s">
        <v>265</v>
      </c>
      <c r="E257" s="102" t="s">
        <v>3</v>
      </c>
      <c r="F257" s="104">
        <v>58334</v>
      </c>
      <c r="G257" s="105"/>
      <c r="H257" s="106">
        <v>2537000</v>
      </c>
      <c r="I257" s="107" t="s">
        <v>696</v>
      </c>
      <c r="J257" s="26"/>
      <c r="K257" s="43"/>
      <c r="L257" s="27"/>
      <c r="M257" s="27"/>
      <c r="N257" s="27"/>
      <c r="O257" s="27"/>
      <c r="P257" s="27"/>
      <c r="Q257" s="27"/>
      <c r="R257" s="27"/>
      <c r="S257" s="27"/>
      <c r="T257" s="27"/>
      <c r="U257" s="27"/>
      <c r="V257" s="28"/>
      <c r="W257" s="28"/>
      <c r="X257" s="28"/>
      <c r="Y257" s="28"/>
      <c r="Z257" s="28"/>
      <c r="AA257" s="28"/>
      <c r="AB257" s="28"/>
      <c r="AC257" s="28"/>
      <c r="AD257" s="28"/>
      <c r="AE257" s="28"/>
      <c r="AF257" s="28"/>
      <c r="AG257" s="28"/>
      <c r="AH257" s="28"/>
      <c r="AI257" s="28"/>
      <c r="AJ257" s="28"/>
      <c r="AK257" s="28"/>
      <c r="AL257" s="28"/>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row>
    <row r="258" spans="1:114" s="53" customFormat="1" ht="15.75" customHeight="1">
      <c r="A258" s="126">
        <f t="shared" si="24"/>
        <v>222</v>
      </c>
      <c r="B258" s="127">
        <f t="shared" si="24"/>
        <v>8</v>
      </c>
      <c r="C258" s="128" t="s">
        <v>299</v>
      </c>
      <c r="D258" s="129" t="s">
        <v>283</v>
      </c>
      <c r="E258" s="128" t="s">
        <v>10</v>
      </c>
      <c r="F258" s="130">
        <v>852495.5</v>
      </c>
      <c r="G258" s="131"/>
      <c r="H258" s="132"/>
      <c r="I258" s="134"/>
      <c r="J258" s="26"/>
      <c r="K258" s="43"/>
      <c r="L258" s="27"/>
      <c r="M258" s="27"/>
      <c r="N258" s="27"/>
      <c r="O258" s="27"/>
      <c r="P258" s="27"/>
      <c r="Q258" s="27"/>
      <c r="R258" s="27"/>
      <c r="S258" s="27"/>
      <c r="T258" s="27"/>
      <c r="U258" s="27"/>
      <c r="V258" s="28"/>
      <c r="W258" s="28"/>
      <c r="X258" s="28"/>
      <c r="Y258" s="28"/>
      <c r="Z258" s="28"/>
      <c r="AA258" s="28"/>
      <c r="AB258" s="28"/>
      <c r="AC258" s="28"/>
      <c r="AD258" s="28"/>
      <c r="AE258" s="28"/>
      <c r="AF258" s="28"/>
      <c r="AG258" s="28"/>
      <c r="AH258" s="28"/>
      <c r="AI258" s="28"/>
      <c r="AJ258" s="28"/>
      <c r="AK258" s="28"/>
      <c r="AL258" s="28"/>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row>
    <row r="259" spans="1:114" s="30" customFormat="1" ht="15.75" customHeight="1">
      <c r="A259" s="282" t="s">
        <v>314</v>
      </c>
      <c r="B259" s="283"/>
      <c r="C259" s="283"/>
      <c r="D259" s="283"/>
      <c r="E259" s="22"/>
      <c r="F259" s="23">
        <f>SUM(F251:F258)</f>
        <v>2286271.55510907</v>
      </c>
      <c r="G259" s="23"/>
      <c r="H259" s="24">
        <f>SUM(H251:H257)</f>
        <v>156080000</v>
      </c>
      <c r="I259" s="25"/>
      <c r="J259" s="26"/>
      <c r="K259" s="27"/>
      <c r="L259" s="27"/>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row>
    <row r="260" spans="1:114" s="38" customFormat="1" ht="15.75" customHeight="1">
      <c r="A260" s="291">
        <v>2004</v>
      </c>
      <c r="B260" s="292"/>
      <c r="C260" s="292"/>
      <c r="D260" s="292"/>
      <c r="E260" s="292"/>
      <c r="F260" s="292"/>
      <c r="G260" s="292"/>
      <c r="H260" s="292"/>
      <c r="I260" s="293"/>
      <c r="J260" s="26"/>
      <c r="K260" s="43"/>
      <c r="L260" s="27"/>
      <c r="M260" s="27"/>
      <c r="N260" s="27"/>
      <c r="O260" s="27"/>
      <c r="P260" s="27"/>
      <c r="Q260" s="27"/>
      <c r="R260" s="27"/>
      <c r="S260" s="27"/>
      <c r="T260" s="27"/>
      <c r="U260" s="27"/>
      <c r="V260" s="28"/>
      <c r="W260" s="28"/>
      <c r="X260" s="28"/>
      <c r="Y260" s="28"/>
      <c r="Z260" s="28"/>
      <c r="AA260" s="28"/>
      <c r="AB260" s="28"/>
      <c r="AC260" s="28"/>
      <c r="AD260" s="28"/>
      <c r="AE260" s="28"/>
      <c r="AF260" s="28"/>
      <c r="AG260" s="28"/>
      <c r="AH260" s="28"/>
      <c r="AI260" s="28"/>
      <c r="AJ260" s="28"/>
      <c r="AK260" s="28"/>
      <c r="AL260" s="28"/>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row>
    <row r="261" spans="1:114" s="143" customFormat="1" ht="15.75" customHeight="1">
      <c r="A261" s="123">
        <f>+A258+1</f>
        <v>223</v>
      </c>
      <c r="B261" s="101">
        <v>1</v>
      </c>
      <c r="C261" s="102" t="s">
        <v>301</v>
      </c>
      <c r="D261" s="103" t="s">
        <v>300</v>
      </c>
      <c r="E261" s="102" t="s">
        <v>208</v>
      </c>
      <c r="F261" s="104">
        <f>108612/3.47</f>
        <v>31300.28818443804</v>
      </c>
      <c r="G261" s="105"/>
      <c r="H261" s="106"/>
      <c r="I261" s="107"/>
      <c r="J261" s="26"/>
      <c r="K261" s="43"/>
      <c r="L261" s="27"/>
      <c r="M261" s="27"/>
      <c r="N261" s="27"/>
      <c r="O261" s="27"/>
      <c r="P261" s="27"/>
      <c r="Q261" s="27"/>
      <c r="R261" s="27"/>
      <c r="S261" s="27"/>
      <c r="T261" s="27"/>
      <c r="U261" s="27"/>
      <c r="V261" s="28"/>
      <c r="W261" s="28"/>
      <c r="X261" s="28"/>
      <c r="Y261" s="28"/>
      <c r="Z261" s="28"/>
      <c r="AA261" s="28"/>
      <c r="AB261" s="28"/>
      <c r="AC261" s="28"/>
      <c r="AD261" s="28"/>
      <c r="AE261" s="28"/>
      <c r="AF261" s="28"/>
      <c r="AG261" s="28"/>
      <c r="AH261" s="28"/>
      <c r="AI261" s="28"/>
      <c r="AJ261" s="28"/>
      <c r="AK261" s="28"/>
      <c r="AL261" s="28"/>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row>
    <row r="262" spans="1:114" s="143" customFormat="1" ht="15.75" customHeight="1">
      <c r="A262" s="123">
        <f>+A261+1</f>
        <v>224</v>
      </c>
      <c r="B262" s="101">
        <f>+B261+1</f>
        <v>2</v>
      </c>
      <c r="C262" s="102" t="s">
        <v>303</v>
      </c>
      <c r="D262" s="103" t="s">
        <v>951</v>
      </c>
      <c r="E262" s="102" t="s">
        <v>597</v>
      </c>
      <c r="F262" s="104">
        <v>183000</v>
      </c>
      <c r="G262" s="105"/>
      <c r="H262" s="106"/>
      <c r="I262" s="107"/>
      <c r="J262" s="26"/>
      <c r="K262" s="43"/>
      <c r="L262" s="27"/>
      <c r="M262" s="27"/>
      <c r="N262" s="27"/>
      <c r="O262" s="27"/>
      <c r="P262" s="27"/>
      <c r="Q262" s="27"/>
      <c r="R262" s="27"/>
      <c r="S262" s="27"/>
      <c r="T262" s="27"/>
      <c r="U262" s="27"/>
      <c r="V262" s="28"/>
      <c r="W262" s="28"/>
      <c r="X262" s="28"/>
      <c r="Y262" s="28"/>
      <c r="Z262" s="28"/>
      <c r="AA262" s="28"/>
      <c r="AB262" s="28"/>
      <c r="AC262" s="28"/>
      <c r="AD262" s="28"/>
      <c r="AE262" s="28"/>
      <c r="AF262" s="28"/>
      <c r="AG262" s="28"/>
      <c r="AH262" s="28"/>
      <c r="AI262" s="28"/>
      <c r="AJ262" s="28"/>
      <c r="AK262" s="28"/>
      <c r="AL262" s="28"/>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row>
    <row r="263" spans="1:114" s="143" customFormat="1" ht="15.75" customHeight="1">
      <c r="A263" s="123">
        <f>+A262+1</f>
        <v>225</v>
      </c>
      <c r="B263" s="101">
        <f>B262+1</f>
        <v>3</v>
      </c>
      <c r="C263" s="102" t="s">
        <v>306</v>
      </c>
      <c r="D263" s="103" t="s">
        <v>304</v>
      </c>
      <c r="E263" s="102" t="s">
        <v>594</v>
      </c>
      <c r="F263" s="104">
        <f>245696636.64/3.466</f>
        <v>70887662.04270051</v>
      </c>
      <c r="G263" s="105"/>
      <c r="H263" s="106"/>
      <c r="I263" s="107"/>
      <c r="J263" s="26"/>
      <c r="K263" s="43"/>
      <c r="L263" s="27"/>
      <c r="M263" s="27"/>
      <c r="N263" s="27"/>
      <c r="O263" s="27"/>
      <c r="P263" s="27"/>
      <c r="Q263" s="27"/>
      <c r="R263" s="27"/>
      <c r="S263" s="27"/>
      <c r="T263" s="27"/>
      <c r="U263" s="27"/>
      <c r="V263" s="28"/>
      <c r="W263" s="28"/>
      <c r="X263" s="28"/>
      <c r="Y263" s="28"/>
      <c r="Z263" s="28"/>
      <c r="AA263" s="28"/>
      <c r="AB263" s="28"/>
      <c r="AC263" s="28"/>
      <c r="AD263" s="28"/>
      <c r="AE263" s="28"/>
      <c r="AF263" s="28"/>
      <c r="AG263" s="28"/>
      <c r="AH263" s="28"/>
      <c r="AI263" s="28"/>
      <c r="AJ263" s="28"/>
      <c r="AK263" s="28"/>
      <c r="AL263" s="28"/>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row>
    <row r="264" spans="1:114" s="144" customFormat="1" ht="15.75" customHeight="1">
      <c r="A264" s="123">
        <f>+A263+1</f>
        <v>226</v>
      </c>
      <c r="B264" s="101">
        <f>B263+1</f>
        <v>4</v>
      </c>
      <c r="C264" s="102" t="s">
        <v>305</v>
      </c>
      <c r="D264" s="103" t="s">
        <v>952</v>
      </c>
      <c r="E264" s="102" t="s">
        <v>597</v>
      </c>
      <c r="F264" s="104">
        <v>560654</v>
      </c>
      <c r="G264" s="105"/>
      <c r="H264" s="106"/>
      <c r="I264" s="107"/>
      <c r="J264" s="26"/>
      <c r="K264" s="43"/>
      <c r="L264" s="27"/>
      <c r="M264" s="27"/>
      <c r="N264" s="27"/>
      <c r="O264" s="27"/>
      <c r="P264" s="27"/>
      <c r="Q264" s="27"/>
      <c r="R264" s="27"/>
      <c r="S264" s="27"/>
      <c r="T264" s="27"/>
      <c r="U264" s="27"/>
      <c r="V264" s="28"/>
      <c r="W264" s="28"/>
      <c r="X264" s="28"/>
      <c r="Y264" s="28"/>
      <c r="Z264" s="28"/>
      <c r="AA264" s="28"/>
      <c r="AB264" s="28"/>
      <c r="AC264" s="28"/>
      <c r="AD264" s="28"/>
      <c r="AE264" s="28"/>
      <c r="AF264" s="28"/>
      <c r="AG264" s="28"/>
      <c r="AH264" s="28"/>
      <c r="AI264" s="28"/>
      <c r="AJ264" s="28"/>
      <c r="AK264" s="28"/>
      <c r="AL264" s="28"/>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row>
    <row r="265" spans="1:114" s="146" customFormat="1" ht="15.75" customHeight="1">
      <c r="A265" s="123">
        <f>+A264+1</f>
        <v>227</v>
      </c>
      <c r="B265" s="101">
        <f>B264+1</f>
        <v>5</v>
      </c>
      <c r="C265" s="102" t="s">
        <v>321</v>
      </c>
      <c r="D265" s="103" t="s">
        <v>331</v>
      </c>
      <c r="E265" s="102" t="s">
        <v>10</v>
      </c>
      <c r="F265" s="104">
        <f>641950+11200+200</f>
        <v>653350</v>
      </c>
      <c r="G265" s="105"/>
      <c r="H265" s="106"/>
      <c r="I265" s="107"/>
      <c r="J265" s="26"/>
      <c r="K265" s="43"/>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45"/>
      <c r="BT265" s="145"/>
      <c r="BU265" s="145"/>
      <c r="BV265" s="145"/>
      <c r="BW265" s="145"/>
      <c r="BX265" s="145"/>
      <c r="BY265" s="145"/>
      <c r="BZ265" s="145"/>
      <c r="CA265" s="145"/>
      <c r="CB265" s="145"/>
      <c r="CC265" s="145"/>
      <c r="CD265" s="145"/>
      <c r="CE265" s="145"/>
      <c r="CF265" s="145"/>
      <c r="CG265" s="145"/>
      <c r="CH265" s="145"/>
      <c r="CI265" s="145"/>
      <c r="CJ265" s="145"/>
      <c r="CK265" s="145"/>
      <c r="CL265" s="145"/>
      <c r="CM265" s="145"/>
      <c r="CN265" s="145"/>
      <c r="CO265" s="145"/>
      <c r="CP265" s="145"/>
      <c r="CQ265" s="145"/>
      <c r="CR265" s="145"/>
      <c r="CS265" s="145"/>
      <c r="CT265" s="145"/>
      <c r="CU265" s="145"/>
      <c r="CV265" s="145"/>
      <c r="CW265" s="145"/>
      <c r="CX265" s="145"/>
      <c r="CY265" s="145"/>
      <c r="CZ265" s="145"/>
      <c r="DA265" s="145"/>
      <c r="DB265" s="145"/>
      <c r="DC265" s="145"/>
      <c r="DD265" s="145"/>
      <c r="DE265" s="145"/>
      <c r="DF265" s="145"/>
      <c r="DG265" s="145"/>
      <c r="DH265" s="145"/>
      <c r="DI265" s="145"/>
      <c r="DJ265" s="145"/>
    </row>
    <row r="266" spans="1:38" s="29" customFormat="1" ht="15.75" customHeight="1">
      <c r="A266" s="123">
        <f>+A265+1</f>
        <v>228</v>
      </c>
      <c r="B266" s="101">
        <f>B265+1</f>
        <v>6</v>
      </c>
      <c r="C266" s="102" t="s">
        <v>323</v>
      </c>
      <c r="D266" s="103" t="s">
        <v>953</v>
      </c>
      <c r="E266" s="102" t="s">
        <v>597</v>
      </c>
      <c r="F266" s="104">
        <v>97500000</v>
      </c>
      <c r="G266" s="105" t="s">
        <v>745</v>
      </c>
      <c r="H266" s="106">
        <v>300000000</v>
      </c>
      <c r="I266" s="107" t="s">
        <v>746</v>
      </c>
      <c r="J266" s="26"/>
      <c r="K266" s="43"/>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row>
    <row r="267" spans="1:114" s="147" customFormat="1" ht="15.75" customHeight="1">
      <c r="A267" s="126">
        <f>+A266+1</f>
        <v>229</v>
      </c>
      <c r="B267" s="127">
        <f>B266+1</f>
        <v>7</v>
      </c>
      <c r="C267" s="128" t="s">
        <v>739</v>
      </c>
      <c r="D267" s="129" t="s">
        <v>326</v>
      </c>
      <c r="E267" s="128" t="s">
        <v>3</v>
      </c>
      <c r="F267" s="130">
        <f>1345141*1.3/3.365</f>
        <v>519668.1426448737</v>
      </c>
      <c r="G267" s="131"/>
      <c r="H267" s="132"/>
      <c r="I267" s="134"/>
      <c r="J267" s="26"/>
      <c r="K267" s="43"/>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145"/>
      <c r="AN267" s="145"/>
      <c r="AO267" s="145"/>
      <c r="AP267" s="145"/>
      <c r="AQ267" s="145"/>
      <c r="AR267" s="145"/>
      <c r="AS267" s="145"/>
      <c r="AT267" s="145"/>
      <c r="AU267" s="145"/>
      <c r="AV267" s="145"/>
      <c r="AW267" s="145"/>
      <c r="AX267" s="145"/>
      <c r="AY267" s="145"/>
      <c r="AZ267" s="145"/>
      <c r="BA267" s="145"/>
      <c r="BB267" s="145"/>
      <c r="BC267" s="145"/>
      <c r="BD267" s="145"/>
      <c r="BE267" s="145"/>
      <c r="BF267" s="145"/>
      <c r="BG267" s="145"/>
      <c r="BH267" s="145"/>
      <c r="BI267" s="145"/>
      <c r="BJ267" s="145"/>
      <c r="BK267" s="145"/>
      <c r="BL267" s="145"/>
      <c r="BM267" s="145"/>
      <c r="BN267" s="145"/>
      <c r="BO267" s="145"/>
      <c r="BP267" s="145"/>
      <c r="BQ267" s="145"/>
      <c r="BR267" s="145"/>
      <c r="BS267" s="145"/>
      <c r="BT267" s="145"/>
      <c r="BU267" s="145"/>
      <c r="BV267" s="145"/>
      <c r="BW267" s="145"/>
      <c r="BX267" s="145"/>
      <c r="BY267" s="145"/>
      <c r="BZ267" s="145"/>
      <c r="CA267" s="145"/>
      <c r="CB267" s="145"/>
      <c r="CC267" s="145"/>
      <c r="CD267" s="145"/>
      <c r="CE267" s="145"/>
      <c r="CF267" s="145"/>
      <c r="CG267" s="145"/>
      <c r="CH267" s="145"/>
      <c r="CI267" s="145"/>
      <c r="CJ267" s="145"/>
      <c r="CK267" s="145"/>
      <c r="CL267" s="145"/>
      <c r="CM267" s="145"/>
      <c r="CN267" s="145"/>
      <c r="CO267" s="145"/>
      <c r="CP267" s="145"/>
      <c r="CQ267" s="145"/>
      <c r="CR267" s="145"/>
      <c r="CS267" s="145"/>
      <c r="CT267" s="145"/>
      <c r="CU267" s="145"/>
      <c r="CV267" s="145"/>
      <c r="CW267" s="145"/>
      <c r="CX267" s="145"/>
      <c r="CY267" s="145"/>
      <c r="CZ267" s="145"/>
      <c r="DA267" s="145"/>
      <c r="DB267" s="145"/>
      <c r="DC267" s="145"/>
      <c r="DD267" s="145"/>
      <c r="DE267" s="145"/>
      <c r="DF267" s="145"/>
      <c r="DG267" s="145"/>
      <c r="DH267" s="145"/>
      <c r="DI267" s="145"/>
      <c r="DJ267" s="145"/>
    </row>
    <row r="268" spans="1:114" s="30" customFormat="1" ht="15.75" customHeight="1">
      <c r="A268" s="282" t="s">
        <v>322</v>
      </c>
      <c r="B268" s="283"/>
      <c r="C268" s="283"/>
      <c r="D268" s="283"/>
      <c r="E268" s="22"/>
      <c r="F268" s="23">
        <f>SUM(F261:F267)</f>
        <v>170335634.47352982</v>
      </c>
      <c r="G268" s="23"/>
      <c r="H268" s="24">
        <f>SUM(H261:H267)</f>
        <v>300000000</v>
      </c>
      <c r="I268" s="25"/>
      <c r="J268" s="26"/>
      <c r="K268" s="27"/>
      <c r="L268" s="27"/>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row>
    <row r="269" spans="1:114" s="38" customFormat="1" ht="15.75" customHeight="1">
      <c r="A269" s="291">
        <v>2005</v>
      </c>
      <c r="B269" s="292"/>
      <c r="C269" s="292"/>
      <c r="D269" s="292"/>
      <c r="E269" s="292"/>
      <c r="F269" s="292"/>
      <c r="G269" s="292"/>
      <c r="H269" s="292"/>
      <c r="I269" s="293"/>
      <c r="J269" s="26"/>
      <c r="K269" s="43"/>
      <c r="L269" s="27"/>
      <c r="M269" s="27"/>
      <c r="N269" s="27"/>
      <c r="O269" s="27"/>
      <c r="P269" s="27"/>
      <c r="Q269" s="27"/>
      <c r="R269" s="27"/>
      <c r="S269" s="27"/>
      <c r="T269" s="27"/>
      <c r="U269" s="27"/>
      <c r="V269" s="28"/>
      <c r="W269" s="28"/>
      <c r="X269" s="28"/>
      <c r="Y269" s="28"/>
      <c r="Z269" s="28"/>
      <c r="AA269" s="28"/>
      <c r="AB269" s="28"/>
      <c r="AC269" s="28"/>
      <c r="AD269" s="28"/>
      <c r="AE269" s="28"/>
      <c r="AF269" s="28"/>
      <c r="AG269" s="28"/>
      <c r="AH269" s="28"/>
      <c r="AI269" s="28"/>
      <c r="AJ269" s="28"/>
      <c r="AK269" s="28"/>
      <c r="AL269" s="28"/>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row>
    <row r="270" spans="1:114" s="143" customFormat="1" ht="15.75" customHeight="1">
      <c r="A270" s="123">
        <f>+A267+1</f>
        <v>230</v>
      </c>
      <c r="B270" s="101">
        <v>1</v>
      </c>
      <c r="C270" s="102" t="s">
        <v>285</v>
      </c>
      <c r="D270" s="103" t="s">
        <v>284</v>
      </c>
      <c r="E270" s="102" t="s">
        <v>3</v>
      </c>
      <c r="F270" s="104">
        <f>15268955*0.115</f>
        <v>1755929.8250000002</v>
      </c>
      <c r="G270" s="105"/>
      <c r="H270" s="106"/>
      <c r="I270" s="107"/>
      <c r="J270" s="26"/>
      <c r="K270" s="43"/>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row>
    <row r="271" spans="1:114" s="143" customFormat="1" ht="15.75" customHeight="1">
      <c r="A271" s="123">
        <f aca="true" t="shared" si="25" ref="A271:A279">+A270+1</f>
        <v>231</v>
      </c>
      <c r="B271" s="101">
        <f aca="true" t="shared" si="26" ref="B271:B279">+B270+1</f>
        <v>2</v>
      </c>
      <c r="C271" s="102" t="s">
        <v>286</v>
      </c>
      <c r="D271" s="103" t="s">
        <v>287</v>
      </c>
      <c r="E271" s="102" t="s">
        <v>598</v>
      </c>
      <c r="F271" s="104">
        <v>4350001</v>
      </c>
      <c r="G271" s="105"/>
      <c r="H271" s="106"/>
      <c r="I271" s="107"/>
      <c r="J271" s="26"/>
      <c r="K271" s="43"/>
      <c r="L271" s="28">
        <f>3039831*1.18</f>
        <v>3587000.5799999996</v>
      </c>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row>
    <row r="272" spans="1:114" s="143" customFormat="1" ht="15.75" customHeight="1">
      <c r="A272" s="123">
        <f t="shared" si="25"/>
        <v>232</v>
      </c>
      <c r="B272" s="101">
        <f t="shared" si="26"/>
        <v>3</v>
      </c>
      <c r="C272" s="102" t="s">
        <v>288</v>
      </c>
      <c r="D272" s="103" t="s">
        <v>954</v>
      </c>
      <c r="E272" s="102" t="s">
        <v>597</v>
      </c>
      <c r="F272" s="104">
        <v>3000000</v>
      </c>
      <c r="G272" s="105"/>
      <c r="H272" s="106">
        <v>566000000</v>
      </c>
      <c r="I272" s="107"/>
      <c r="J272" s="26"/>
      <c r="K272" s="43"/>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row>
    <row r="273" spans="1:114" s="144" customFormat="1" ht="15.75" customHeight="1">
      <c r="A273" s="123">
        <f t="shared" si="25"/>
        <v>233</v>
      </c>
      <c r="B273" s="101">
        <f t="shared" si="26"/>
        <v>4</v>
      </c>
      <c r="C273" s="102" t="s">
        <v>290</v>
      </c>
      <c r="D273" s="103" t="s">
        <v>289</v>
      </c>
      <c r="E273" s="102" t="s">
        <v>596</v>
      </c>
      <c r="F273" s="104">
        <f>457469*1.37/3.262</f>
        <v>192131.370324954</v>
      </c>
      <c r="G273" s="105"/>
      <c r="H273" s="106"/>
      <c r="I273" s="107"/>
      <c r="J273" s="26"/>
      <c r="K273" s="43"/>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row>
    <row r="274" spans="1:114" s="50" customFormat="1" ht="15.75" customHeight="1">
      <c r="A274" s="123">
        <f t="shared" si="25"/>
        <v>234</v>
      </c>
      <c r="B274" s="101">
        <f t="shared" si="26"/>
        <v>5</v>
      </c>
      <c r="C274" s="102" t="s">
        <v>56</v>
      </c>
      <c r="D274" s="103" t="s">
        <v>55</v>
      </c>
      <c r="E274" s="102" t="s">
        <v>45</v>
      </c>
      <c r="F274" s="104">
        <v>58508.52</v>
      </c>
      <c r="G274" s="105"/>
      <c r="H274" s="106">
        <f>3627110.16/3.23</f>
        <v>1122944.3219814242</v>
      </c>
      <c r="I274" s="107"/>
      <c r="J274" s="26"/>
      <c r="K274" s="43"/>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row>
    <row r="275" spans="1:114" s="50" customFormat="1" ht="15.75" customHeight="1">
      <c r="A275" s="123">
        <f t="shared" si="25"/>
        <v>235</v>
      </c>
      <c r="B275" s="101">
        <f t="shared" si="26"/>
        <v>6</v>
      </c>
      <c r="C275" s="102" t="s">
        <v>602</v>
      </c>
      <c r="D275" s="103" t="s">
        <v>667</v>
      </c>
      <c r="E275" s="102" t="s">
        <v>598</v>
      </c>
      <c r="F275" s="104">
        <v>4475000</v>
      </c>
      <c r="G275" s="105"/>
      <c r="H275" s="106"/>
      <c r="I275" s="107"/>
      <c r="J275" s="26"/>
      <c r="K275" s="43"/>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row>
    <row r="276" spans="1:114" s="50" customFormat="1" ht="15.75" customHeight="1">
      <c r="A276" s="123">
        <f t="shared" si="25"/>
        <v>236</v>
      </c>
      <c r="B276" s="101">
        <f t="shared" si="26"/>
        <v>7</v>
      </c>
      <c r="C276" s="102" t="s">
        <v>603</v>
      </c>
      <c r="D276" s="103" t="s">
        <v>605</v>
      </c>
      <c r="E276" s="102" t="s">
        <v>3</v>
      </c>
      <c r="F276" s="104">
        <f>723155*0.46/3.251</f>
        <v>102322.76222700707</v>
      </c>
      <c r="G276" s="105"/>
      <c r="H276" s="106"/>
      <c r="I276" s="107"/>
      <c r="J276" s="26"/>
      <c r="K276" s="43"/>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row>
    <row r="277" spans="1:114" s="50" customFormat="1" ht="15.75" customHeight="1">
      <c r="A277" s="123">
        <f t="shared" si="25"/>
        <v>237</v>
      </c>
      <c r="B277" s="101">
        <f t="shared" si="26"/>
        <v>8</v>
      </c>
      <c r="C277" s="102" t="s">
        <v>559</v>
      </c>
      <c r="D277" s="103" t="s">
        <v>577</v>
      </c>
      <c r="E277" s="102" t="s">
        <v>3</v>
      </c>
      <c r="F277" s="104">
        <v>71039</v>
      </c>
      <c r="G277" s="105"/>
      <c r="H277" s="106"/>
      <c r="I277" s="107"/>
      <c r="J277" s="26"/>
      <c r="K277" s="43"/>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row>
    <row r="278" spans="1:114" s="50" customFormat="1" ht="15.75" customHeight="1">
      <c r="A278" s="123">
        <f>+A277+1</f>
        <v>238</v>
      </c>
      <c r="B278" s="101">
        <f>+B277+1</f>
        <v>9</v>
      </c>
      <c r="C278" s="102" t="s">
        <v>578</v>
      </c>
      <c r="D278" s="103" t="s">
        <v>579</v>
      </c>
      <c r="E278" s="102" t="s">
        <v>597</v>
      </c>
      <c r="F278" s="104">
        <v>61300000</v>
      </c>
      <c r="G278" s="105"/>
      <c r="H278" s="106">
        <v>2500000000</v>
      </c>
      <c r="I278" s="107"/>
      <c r="J278" s="26"/>
      <c r="K278" s="43"/>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row>
    <row r="279" spans="1:114" s="143" customFormat="1" ht="15.75" customHeight="1">
      <c r="A279" s="126">
        <f t="shared" si="25"/>
        <v>239</v>
      </c>
      <c r="B279" s="127">
        <f t="shared" si="26"/>
        <v>10</v>
      </c>
      <c r="C279" s="128" t="s">
        <v>576</v>
      </c>
      <c r="D279" s="129" t="s">
        <v>558</v>
      </c>
      <c r="E279" s="128" t="s">
        <v>10</v>
      </c>
      <c r="F279" s="130">
        <v>3079954.3298344226</v>
      </c>
      <c r="G279" s="131"/>
      <c r="H279" s="132"/>
      <c r="I279" s="134"/>
      <c r="J279" s="26"/>
      <c r="K279" s="43"/>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row>
    <row r="280" spans="1:114" s="30" customFormat="1" ht="15.75" customHeight="1">
      <c r="A280" s="282" t="s">
        <v>293</v>
      </c>
      <c r="B280" s="283"/>
      <c r="C280" s="283"/>
      <c r="D280" s="283"/>
      <c r="E280" s="22"/>
      <c r="F280" s="23">
        <f>SUM(F270:F279)</f>
        <v>78384886.80738638</v>
      </c>
      <c r="G280" s="23"/>
      <c r="H280" s="24">
        <f>SUM(H270:H279)</f>
        <v>3067122944.3219814</v>
      </c>
      <c r="I280" s="25"/>
      <c r="J280" s="26"/>
      <c r="K280" s="27"/>
      <c r="L280" s="27"/>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row>
    <row r="281" spans="1:114" s="38" customFormat="1" ht="15.75" customHeight="1">
      <c r="A281" s="291">
        <v>2006</v>
      </c>
      <c r="B281" s="292"/>
      <c r="C281" s="292"/>
      <c r="D281" s="292"/>
      <c r="E281" s="292"/>
      <c r="F281" s="292"/>
      <c r="G281" s="292"/>
      <c r="H281" s="292"/>
      <c r="I281" s="293"/>
      <c r="J281" s="26"/>
      <c r="K281" s="43"/>
      <c r="L281" s="27"/>
      <c r="M281" s="27"/>
      <c r="N281" s="27"/>
      <c r="O281" s="27"/>
      <c r="P281" s="27"/>
      <c r="Q281" s="27"/>
      <c r="R281" s="27"/>
      <c r="S281" s="27"/>
      <c r="T281" s="27"/>
      <c r="U281" s="27"/>
      <c r="V281" s="28"/>
      <c r="W281" s="28"/>
      <c r="X281" s="28"/>
      <c r="Y281" s="28"/>
      <c r="Z281" s="28"/>
      <c r="AA281" s="28"/>
      <c r="AB281" s="28"/>
      <c r="AC281" s="28"/>
      <c r="AD281" s="28"/>
      <c r="AE281" s="28"/>
      <c r="AF281" s="28"/>
      <c r="AG281" s="28"/>
      <c r="AH281" s="28"/>
      <c r="AI281" s="28"/>
      <c r="AJ281" s="28"/>
      <c r="AK281" s="28"/>
      <c r="AL281" s="28"/>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row>
    <row r="282" spans="1:114" s="143" customFormat="1" ht="15.75" customHeight="1">
      <c r="A282" s="123">
        <f>+A279+1</f>
        <v>240</v>
      </c>
      <c r="B282" s="101">
        <v>1</v>
      </c>
      <c r="C282" s="102" t="s">
        <v>375</v>
      </c>
      <c r="D282" s="103" t="s">
        <v>367</v>
      </c>
      <c r="E282" s="102" t="s">
        <v>3</v>
      </c>
      <c r="F282" s="104">
        <f>7019383.6/3.443</f>
        <v>2038740.516990996</v>
      </c>
      <c r="G282" s="105"/>
      <c r="H282" s="106"/>
      <c r="I282" s="107"/>
      <c r="J282" s="26"/>
      <c r="K282" s="43"/>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row>
    <row r="283" spans="1:114" s="143" customFormat="1" ht="15.75" customHeight="1">
      <c r="A283" s="123">
        <f aca="true" t="shared" si="27" ref="A283:B289">+A282+1</f>
        <v>241</v>
      </c>
      <c r="B283" s="101">
        <f t="shared" si="27"/>
        <v>2</v>
      </c>
      <c r="C283" s="102" t="s">
        <v>375</v>
      </c>
      <c r="D283" s="103" t="s">
        <v>373</v>
      </c>
      <c r="E283" s="102" t="s">
        <v>3</v>
      </c>
      <c r="F283" s="104">
        <f>928542.5/3.443</f>
        <v>269689.9506244554</v>
      </c>
      <c r="G283" s="105"/>
      <c r="H283" s="106"/>
      <c r="I283" s="107"/>
      <c r="J283" s="26"/>
      <c r="K283" s="43"/>
      <c r="L283" s="28">
        <f>3039831*1.18</f>
        <v>3587000.5799999996</v>
      </c>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row>
    <row r="284" spans="1:114" s="143" customFormat="1" ht="15.75" customHeight="1">
      <c r="A284" s="123">
        <f t="shared" si="27"/>
        <v>242</v>
      </c>
      <c r="B284" s="101">
        <f t="shared" si="27"/>
        <v>3</v>
      </c>
      <c r="C284" s="102" t="s">
        <v>376</v>
      </c>
      <c r="D284" s="103" t="s">
        <v>374</v>
      </c>
      <c r="E284" s="102" t="s">
        <v>3</v>
      </c>
      <c r="F284" s="104">
        <f>39623580/3.344</f>
        <v>11849156.698564595</v>
      </c>
      <c r="G284" s="105"/>
      <c r="H284" s="106"/>
      <c r="I284" s="107"/>
      <c r="J284" s="26"/>
      <c r="K284" s="43"/>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row>
    <row r="285" spans="1:38" s="29" customFormat="1" ht="15.75" customHeight="1">
      <c r="A285" s="123">
        <f t="shared" si="27"/>
        <v>243</v>
      </c>
      <c r="B285" s="101">
        <f t="shared" si="27"/>
        <v>4</v>
      </c>
      <c r="C285" s="102" t="s">
        <v>343</v>
      </c>
      <c r="D285" s="103" t="s">
        <v>955</v>
      </c>
      <c r="E285" s="102" t="s">
        <v>736</v>
      </c>
      <c r="F285" s="104"/>
      <c r="G285" s="105"/>
      <c r="H285" s="106">
        <v>1200000</v>
      </c>
      <c r="I285" s="107"/>
      <c r="J285" s="26"/>
      <c r="K285" s="43"/>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row>
    <row r="286" spans="1:38" s="29" customFormat="1" ht="15.75" customHeight="1">
      <c r="A286" s="123">
        <f t="shared" si="27"/>
        <v>244</v>
      </c>
      <c r="B286" s="101">
        <f t="shared" si="27"/>
        <v>5</v>
      </c>
      <c r="C286" s="102" t="s">
        <v>342</v>
      </c>
      <c r="D286" s="103" t="s">
        <v>341</v>
      </c>
      <c r="E286" s="102" t="s">
        <v>596</v>
      </c>
      <c r="F286" s="104">
        <f>493725604*0.4/3.265</f>
        <v>60487057.15160797</v>
      </c>
      <c r="G286" s="105"/>
      <c r="H286" s="106">
        <v>100000000</v>
      </c>
      <c r="I286" s="107"/>
      <c r="J286" s="26"/>
      <c r="K286" s="43"/>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row>
    <row r="287" spans="1:38" s="29" customFormat="1" ht="15.75" customHeight="1">
      <c r="A287" s="123">
        <f t="shared" si="27"/>
        <v>245</v>
      </c>
      <c r="B287" s="101">
        <f t="shared" si="27"/>
        <v>6</v>
      </c>
      <c r="C287" s="102" t="s">
        <v>82</v>
      </c>
      <c r="D287" s="103" t="s">
        <v>558</v>
      </c>
      <c r="E287" s="102" t="s">
        <v>10</v>
      </c>
      <c r="F287" s="104">
        <v>899093</v>
      </c>
      <c r="G287" s="105"/>
      <c r="H287" s="106"/>
      <c r="I287" s="107"/>
      <c r="J287" s="26"/>
      <c r="K287" s="43"/>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row>
    <row r="288" spans="1:38" s="29" customFormat="1" ht="15.75" customHeight="1">
      <c r="A288" s="123">
        <f t="shared" si="27"/>
        <v>246</v>
      </c>
      <c r="B288" s="101">
        <f t="shared" si="27"/>
        <v>7</v>
      </c>
      <c r="C288" s="102" t="s">
        <v>266</v>
      </c>
      <c r="D288" s="103" t="s">
        <v>268</v>
      </c>
      <c r="E288" s="102" t="s">
        <v>598</v>
      </c>
      <c r="F288" s="104">
        <v>17700000</v>
      </c>
      <c r="G288" s="105"/>
      <c r="H288" s="106"/>
      <c r="I288" s="107"/>
      <c r="J288" s="26"/>
      <c r="K288" s="43"/>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row>
    <row r="289" spans="1:38" s="29" customFormat="1" ht="15.75" customHeight="1">
      <c r="A289" s="126">
        <f t="shared" si="27"/>
        <v>247</v>
      </c>
      <c r="B289" s="127">
        <f t="shared" si="27"/>
        <v>8</v>
      </c>
      <c r="C289" s="128" t="s">
        <v>267</v>
      </c>
      <c r="D289" s="129" t="s">
        <v>276</v>
      </c>
      <c r="E289" s="128" t="s">
        <v>598</v>
      </c>
      <c r="F289" s="130">
        <f>49433625.78/3.251</f>
        <v>15205667.726853278</v>
      </c>
      <c r="G289" s="131"/>
      <c r="H289" s="132"/>
      <c r="I289" s="134"/>
      <c r="J289" s="26"/>
      <c r="K289" s="43"/>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row>
    <row r="290" spans="1:114" s="30" customFormat="1" ht="15.75" customHeight="1">
      <c r="A290" s="282" t="s">
        <v>585</v>
      </c>
      <c r="B290" s="283"/>
      <c r="C290" s="283"/>
      <c r="D290" s="283"/>
      <c r="E290" s="22"/>
      <c r="F290" s="23">
        <f>SUM(F282:F289)</f>
        <v>108449405.0446413</v>
      </c>
      <c r="G290" s="23"/>
      <c r="H290" s="24">
        <f>SUM(H282:H289)</f>
        <v>101200000</v>
      </c>
      <c r="I290" s="25"/>
      <c r="J290" s="26"/>
      <c r="K290" s="27"/>
      <c r="L290" s="27"/>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row>
    <row r="291" spans="1:38" s="29" customFormat="1" ht="15.75" customHeight="1">
      <c r="A291" s="291">
        <v>2007</v>
      </c>
      <c r="B291" s="292"/>
      <c r="C291" s="292"/>
      <c r="D291" s="292"/>
      <c r="E291" s="292"/>
      <c r="F291" s="292"/>
      <c r="G291" s="292"/>
      <c r="H291" s="292"/>
      <c r="I291" s="293"/>
      <c r="J291" s="26"/>
      <c r="K291" s="43"/>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row>
    <row r="292" spans="1:38" s="29" customFormat="1" ht="15.75" customHeight="1">
      <c r="A292" s="123">
        <f>+A289+1</f>
        <v>248</v>
      </c>
      <c r="B292" s="101">
        <v>1</v>
      </c>
      <c r="C292" s="102" t="s">
        <v>333</v>
      </c>
      <c r="D292" s="103" t="s">
        <v>558</v>
      </c>
      <c r="E292" s="102" t="s">
        <v>10</v>
      </c>
      <c r="F292" s="104">
        <v>17076525</v>
      </c>
      <c r="G292" s="105"/>
      <c r="H292" s="106"/>
      <c r="I292" s="107"/>
      <c r="J292" s="26"/>
      <c r="K292" s="43"/>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row>
    <row r="293" spans="1:38" s="29" customFormat="1" ht="15.75" customHeight="1">
      <c r="A293" s="123">
        <f aca="true" t="shared" si="28" ref="A293:B297">+A292+1</f>
        <v>249</v>
      </c>
      <c r="B293" s="101">
        <f t="shared" si="28"/>
        <v>2</v>
      </c>
      <c r="C293" s="102" t="s">
        <v>465</v>
      </c>
      <c r="D293" s="103" t="s">
        <v>269</v>
      </c>
      <c r="E293" s="102" t="s">
        <v>45</v>
      </c>
      <c r="F293" s="104">
        <v>44980.3</v>
      </c>
      <c r="G293" s="105"/>
      <c r="H293" s="106">
        <v>984375</v>
      </c>
      <c r="I293" s="107"/>
      <c r="J293" s="26"/>
      <c r="K293" s="43"/>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row>
    <row r="294" spans="1:38" s="29" customFormat="1" ht="15.75" customHeight="1">
      <c r="A294" s="123">
        <f t="shared" si="28"/>
        <v>250</v>
      </c>
      <c r="B294" s="101">
        <f t="shared" si="28"/>
        <v>3</v>
      </c>
      <c r="C294" s="102" t="s">
        <v>328</v>
      </c>
      <c r="D294" s="103" t="s">
        <v>330</v>
      </c>
      <c r="E294" s="102" t="s">
        <v>329</v>
      </c>
      <c r="F294" s="104">
        <v>412000000</v>
      </c>
      <c r="G294" s="105"/>
      <c r="H294" s="106">
        <v>2500000000</v>
      </c>
      <c r="I294" s="107"/>
      <c r="J294" s="26"/>
      <c r="K294" s="43"/>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row>
    <row r="295" spans="1:38" s="29" customFormat="1" ht="15.75" customHeight="1">
      <c r="A295" s="123">
        <f t="shared" si="28"/>
        <v>251</v>
      </c>
      <c r="B295" s="101">
        <f t="shared" si="28"/>
        <v>4</v>
      </c>
      <c r="C295" s="102" t="s">
        <v>270</v>
      </c>
      <c r="D295" s="103" t="s">
        <v>567</v>
      </c>
      <c r="E295" s="102" t="s">
        <v>45</v>
      </c>
      <c r="F295" s="104"/>
      <c r="G295" s="105"/>
      <c r="H295" s="106">
        <v>6700000</v>
      </c>
      <c r="I295" s="107"/>
      <c r="J295" s="26"/>
      <c r="K295" s="43"/>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row>
    <row r="296" spans="1:38" s="29" customFormat="1" ht="15.75" customHeight="1">
      <c r="A296" s="123">
        <f t="shared" si="28"/>
        <v>252</v>
      </c>
      <c r="B296" s="101">
        <f t="shared" si="28"/>
        <v>5</v>
      </c>
      <c r="C296" s="102" t="s">
        <v>273</v>
      </c>
      <c r="D296" s="103" t="s">
        <v>274</v>
      </c>
      <c r="E296" s="102" t="s">
        <v>596</v>
      </c>
      <c r="F296" s="104">
        <v>63750000</v>
      </c>
      <c r="G296" s="105"/>
      <c r="H296" s="106"/>
      <c r="I296" s="107"/>
      <c r="J296" s="26"/>
      <c r="K296" s="43"/>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row>
    <row r="297" spans="1:38" s="29" customFormat="1" ht="15.75" customHeight="1">
      <c r="A297" s="126">
        <f t="shared" si="28"/>
        <v>253</v>
      </c>
      <c r="B297" s="127">
        <f t="shared" si="28"/>
        <v>6</v>
      </c>
      <c r="C297" s="128" t="s">
        <v>275</v>
      </c>
      <c r="D297" s="129" t="s">
        <v>190</v>
      </c>
      <c r="E297" s="128" t="s">
        <v>329</v>
      </c>
      <c r="F297" s="130">
        <v>460000</v>
      </c>
      <c r="G297" s="131"/>
      <c r="H297" s="132"/>
      <c r="I297" s="134"/>
      <c r="J297" s="26"/>
      <c r="K297" s="43"/>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row>
    <row r="298" spans="1:114" s="30" customFormat="1" ht="15.75" customHeight="1">
      <c r="A298" s="282" t="s">
        <v>586</v>
      </c>
      <c r="B298" s="283"/>
      <c r="C298" s="283"/>
      <c r="D298" s="283"/>
      <c r="E298" s="22"/>
      <c r="F298" s="23">
        <f>SUM(F292:F297)</f>
        <v>493331505.3</v>
      </c>
      <c r="G298" s="23"/>
      <c r="H298" s="24">
        <f>SUM(H292:H297)</f>
        <v>2507684375</v>
      </c>
      <c r="I298" s="25"/>
      <c r="J298" s="26"/>
      <c r="K298" s="27"/>
      <c r="L298" s="27"/>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row>
    <row r="299" spans="1:38" s="29" customFormat="1" ht="15.75" customHeight="1">
      <c r="A299" s="291">
        <v>2008</v>
      </c>
      <c r="B299" s="292"/>
      <c r="C299" s="292"/>
      <c r="D299" s="292"/>
      <c r="E299" s="292"/>
      <c r="F299" s="292"/>
      <c r="G299" s="292"/>
      <c r="H299" s="292"/>
      <c r="I299" s="293"/>
      <c r="J299" s="26"/>
      <c r="K299" s="43"/>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row>
    <row r="300" spans="1:38" s="29" customFormat="1" ht="15.75" customHeight="1">
      <c r="A300" s="123">
        <f>+A297+1</f>
        <v>254</v>
      </c>
      <c r="B300" s="101">
        <v>1</v>
      </c>
      <c r="C300" s="102" t="s">
        <v>581</v>
      </c>
      <c r="D300" s="103" t="s">
        <v>558</v>
      </c>
      <c r="E300" s="102" t="s">
        <v>10</v>
      </c>
      <c r="F300" s="104">
        <v>1094285.83</v>
      </c>
      <c r="G300" s="105"/>
      <c r="H300" s="106"/>
      <c r="I300" s="107"/>
      <c r="J300" s="26"/>
      <c r="K300" s="43"/>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row>
    <row r="301" spans="1:38" s="29" customFormat="1" ht="15.75" customHeight="1">
      <c r="A301" s="123">
        <f>A300+1</f>
        <v>255</v>
      </c>
      <c r="B301" s="101">
        <v>2</v>
      </c>
      <c r="C301" s="102" t="s">
        <v>278</v>
      </c>
      <c r="D301" s="103" t="s">
        <v>956</v>
      </c>
      <c r="E301" s="102" t="s">
        <v>597</v>
      </c>
      <c r="F301" s="104">
        <v>2000000</v>
      </c>
      <c r="G301" s="105"/>
      <c r="H301" s="106">
        <v>2152269000</v>
      </c>
      <c r="I301" s="107"/>
      <c r="J301" s="26"/>
      <c r="K301" s="43"/>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row>
    <row r="302" spans="1:38" s="29" customFormat="1" ht="15.75" customHeight="1">
      <c r="A302" s="126">
        <f>A301+1</f>
        <v>256</v>
      </c>
      <c r="B302" s="127">
        <v>3</v>
      </c>
      <c r="C302" s="128" t="s">
        <v>232</v>
      </c>
      <c r="D302" s="129" t="s">
        <v>957</v>
      </c>
      <c r="E302" s="128" t="s">
        <v>598</v>
      </c>
      <c r="F302" s="130">
        <f>134002401/3.104</f>
        <v>43170876.61082474</v>
      </c>
      <c r="G302" s="131"/>
      <c r="H302" s="132"/>
      <c r="I302" s="134"/>
      <c r="J302" s="26"/>
      <c r="K302" s="43"/>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row>
    <row r="303" spans="1:114" s="30" customFormat="1" ht="15.75" customHeight="1">
      <c r="A303" s="282" t="s">
        <v>327</v>
      </c>
      <c r="B303" s="283"/>
      <c r="C303" s="283"/>
      <c r="D303" s="283"/>
      <c r="E303" s="22"/>
      <c r="F303" s="23">
        <f>SUM(F300:F302)</f>
        <v>46265162.44082474</v>
      </c>
      <c r="G303" s="23"/>
      <c r="H303" s="24">
        <f>SUM(H300:H302)</f>
        <v>2152269000</v>
      </c>
      <c r="I303" s="25"/>
      <c r="J303" s="26"/>
      <c r="K303" s="27"/>
      <c r="L303" s="27"/>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row>
    <row r="304" spans="1:38" s="29" customFormat="1" ht="15.75" customHeight="1">
      <c r="A304" s="291">
        <v>2009</v>
      </c>
      <c r="B304" s="292"/>
      <c r="C304" s="292"/>
      <c r="D304" s="292"/>
      <c r="E304" s="292"/>
      <c r="F304" s="292"/>
      <c r="G304" s="292"/>
      <c r="H304" s="292"/>
      <c r="I304" s="293"/>
      <c r="J304" s="26"/>
      <c r="K304" s="43"/>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row>
    <row r="305" spans="1:38" s="29" customFormat="1" ht="15.75" customHeight="1">
      <c r="A305" s="148">
        <f>+A302+1</f>
        <v>257</v>
      </c>
      <c r="B305" s="149">
        <v>1</v>
      </c>
      <c r="C305" s="150" t="s">
        <v>610</v>
      </c>
      <c r="D305" s="151" t="s">
        <v>558</v>
      </c>
      <c r="E305" s="150" t="s">
        <v>10</v>
      </c>
      <c r="F305" s="152">
        <v>850000</v>
      </c>
      <c r="G305" s="153"/>
      <c r="H305" s="154"/>
      <c r="I305" s="155"/>
      <c r="J305" s="26"/>
      <c r="K305" s="43"/>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row>
    <row r="306" spans="1:114" s="30" customFormat="1" ht="15.75" customHeight="1">
      <c r="A306" s="282" t="s">
        <v>754</v>
      </c>
      <c r="B306" s="283"/>
      <c r="C306" s="283"/>
      <c r="D306" s="283"/>
      <c r="E306" s="22"/>
      <c r="F306" s="23">
        <f>SUM(F305)</f>
        <v>850000</v>
      </c>
      <c r="G306" s="23"/>
      <c r="H306" s="24"/>
      <c r="I306" s="25"/>
      <c r="J306" s="26"/>
      <c r="K306" s="27"/>
      <c r="L306" s="27"/>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row>
    <row r="307" spans="1:38" s="29" customFormat="1" ht="15.75" customHeight="1">
      <c r="A307" s="291">
        <v>2010</v>
      </c>
      <c r="B307" s="292"/>
      <c r="C307" s="292"/>
      <c r="D307" s="292"/>
      <c r="E307" s="292"/>
      <c r="F307" s="292"/>
      <c r="G307" s="292"/>
      <c r="H307" s="292"/>
      <c r="I307" s="293"/>
      <c r="J307" s="26"/>
      <c r="K307" s="43"/>
      <c r="L307" s="27"/>
      <c r="M307" s="27"/>
      <c r="N307" s="27"/>
      <c r="O307" s="27"/>
      <c r="P307" s="27"/>
      <c r="Q307" s="27"/>
      <c r="R307" s="27"/>
      <c r="S307" s="27"/>
      <c r="T307" s="27"/>
      <c r="U307" s="27"/>
      <c r="V307" s="28"/>
      <c r="W307" s="28"/>
      <c r="X307" s="28"/>
      <c r="Y307" s="28"/>
      <c r="Z307" s="28"/>
      <c r="AA307" s="28"/>
      <c r="AB307" s="28"/>
      <c r="AC307" s="28"/>
      <c r="AD307" s="28"/>
      <c r="AE307" s="28"/>
      <c r="AF307" s="28"/>
      <c r="AG307" s="28"/>
      <c r="AH307" s="28"/>
      <c r="AI307" s="28"/>
      <c r="AJ307" s="28"/>
      <c r="AK307" s="28"/>
      <c r="AL307" s="28"/>
    </row>
    <row r="308" spans="1:38" s="29" customFormat="1" ht="15.75" customHeight="1">
      <c r="A308" s="123">
        <f>+A305+1</f>
        <v>258</v>
      </c>
      <c r="B308" s="101">
        <v>1</v>
      </c>
      <c r="C308" s="102" t="s">
        <v>370</v>
      </c>
      <c r="D308" s="103" t="s">
        <v>958</v>
      </c>
      <c r="E308" s="102" t="s">
        <v>471</v>
      </c>
      <c r="F308" s="104">
        <f>105612000/2.82</f>
        <v>37451063.82978724</v>
      </c>
      <c r="G308" s="105"/>
      <c r="H308" s="106">
        <v>300000000</v>
      </c>
      <c r="I308" s="107"/>
      <c r="J308" s="64"/>
      <c r="K308" s="43"/>
      <c r="L308" s="27"/>
      <c r="M308" s="27"/>
      <c r="N308" s="27"/>
      <c r="O308" s="27"/>
      <c r="P308" s="27"/>
      <c r="Q308" s="27"/>
      <c r="R308" s="27"/>
      <c r="S308" s="27"/>
      <c r="T308" s="27"/>
      <c r="U308" s="27"/>
      <c r="V308" s="28"/>
      <c r="W308" s="28"/>
      <c r="X308" s="28"/>
      <c r="Y308" s="28"/>
      <c r="Z308" s="28"/>
      <c r="AA308" s="28"/>
      <c r="AB308" s="28"/>
      <c r="AC308" s="28"/>
      <c r="AD308" s="28"/>
      <c r="AE308" s="28"/>
      <c r="AF308" s="28"/>
      <c r="AG308" s="28"/>
      <c r="AH308" s="28"/>
      <c r="AI308" s="28"/>
      <c r="AJ308" s="28"/>
      <c r="AK308" s="28"/>
      <c r="AL308" s="28"/>
    </row>
    <row r="309" spans="1:38" s="29" customFormat="1" ht="15.75" customHeight="1">
      <c r="A309" s="123">
        <f>A308+1</f>
        <v>259</v>
      </c>
      <c r="B309" s="101">
        <v>2</v>
      </c>
      <c r="C309" s="102" t="s">
        <v>765</v>
      </c>
      <c r="D309" s="103" t="s">
        <v>800</v>
      </c>
      <c r="E309" s="102" t="s">
        <v>597</v>
      </c>
      <c r="F309" s="104">
        <v>28500000</v>
      </c>
      <c r="G309" s="105" t="s">
        <v>780</v>
      </c>
      <c r="H309" s="106">
        <v>4170623000</v>
      </c>
      <c r="I309" s="107"/>
      <c r="J309" s="64"/>
      <c r="K309" s="43"/>
      <c r="L309" s="27"/>
      <c r="M309" s="27"/>
      <c r="N309" s="27"/>
      <c r="O309" s="27"/>
      <c r="P309" s="27"/>
      <c r="Q309" s="27"/>
      <c r="R309" s="27"/>
      <c r="S309" s="27"/>
      <c r="T309" s="27"/>
      <c r="U309" s="27"/>
      <c r="V309" s="28"/>
      <c r="W309" s="28"/>
      <c r="X309" s="28"/>
      <c r="Y309" s="28"/>
      <c r="Z309" s="28"/>
      <c r="AA309" s="28"/>
      <c r="AB309" s="28"/>
      <c r="AC309" s="28"/>
      <c r="AD309" s="28"/>
      <c r="AE309" s="28"/>
      <c r="AF309" s="28"/>
      <c r="AG309" s="28"/>
      <c r="AH309" s="28"/>
      <c r="AI309" s="28"/>
      <c r="AJ309" s="28"/>
      <c r="AK309" s="28"/>
      <c r="AL309" s="28"/>
    </row>
    <row r="310" spans="1:38" s="29" customFormat="1" ht="15.75" customHeight="1">
      <c r="A310" s="126">
        <f>A309+1</f>
        <v>260</v>
      </c>
      <c r="B310" s="127">
        <v>3</v>
      </c>
      <c r="C310" s="128" t="s">
        <v>379</v>
      </c>
      <c r="D310" s="129" t="s">
        <v>380</v>
      </c>
      <c r="E310" s="128" t="s">
        <v>381</v>
      </c>
      <c r="F310" s="130">
        <v>112000000</v>
      </c>
      <c r="G310" s="131"/>
      <c r="H310" s="132"/>
      <c r="I310" s="134"/>
      <c r="J310" s="64"/>
      <c r="K310" s="43"/>
      <c r="L310" s="27"/>
      <c r="M310" s="27"/>
      <c r="N310" s="27"/>
      <c r="O310" s="27"/>
      <c r="P310" s="27"/>
      <c r="Q310" s="27"/>
      <c r="R310" s="27"/>
      <c r="S310" s="27"/>
      <c r="T310" s="27"/>
      <c r="U310" s="27"/>
      <c r="V310" s="28"/>
      <c r="W310" s="28"/>
      <c r="X310" s="28"/>
      <c r="Y310" s="28"/>
      <c r="Z310" s="28"/>
      <c r="AA310" s="28"/>
      <c r="AB310" s="28"/>
      <c r="AC310" s="28"/>
      <c r="AD310" s="28"/>
      <c r="AE310" s="28"/>
      <c r="AF310" s="28"/>
      <c r="AG310" s="28"/>
      <c r="AH310" s="28"/>
      <c r="AI310" s="28"/>
      <c r="AJ310" s="28"/>
      <c r="AK310" s="28"/>
      <c r="AL310" s="28"/>
    </row>
    <row r="311" spans="1:114" s="30" customFormat="1" ht="15.75" customHeight="1">
      <c r="A311" s="282" t="s">
        <v>622</v>
      </c>
      <c r="B311" s="283"/>
      <c r="C311" s="283"/>
      <c r="D311" s="283"/>
      <c r="E311" s="22"/>
      <c r="F311" s="23">
        <f>SUM(F308:F310)</f>
        <v>177951063.82978725</v>
      </c>
      <c r="G311" s="23"/>
      <c r="H311" s="24">
        <f>H308+H309</f>
        <v>4470623000</v>
      </c>
      <c r="I311" s="25"/>
      <c r="J311" s="26"/>
      <c r="K311" s="27"/>
      <c r="L311" s="27"/>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row>
    <row r="312" spans="1:38" s="29" customFormat="1" ht="15.75" customHeight="1">
      <c r="A312" s="291">
        <v>2011</v>
      </c>
      <c r="B312" s="292"/>
      <c r="C312" s="292"/>
      <c r="D312" s="292"/>
      <c r="E312" s="292"/>
      <c r="F312" s="292"/>
      <c r="G312" s="292"/>
      <c r="H312" s="292"/>
      <c r="I312" s="293"/>
      <c r="J312" s="26"/>
      <c r="K312" s="43"/>
      <c r="L312" s="27"/>
      <c r="M312" s="27"/>
      <c r="N312" s="27"/>
      <c r="O312" s="27"/>
      <c r="P312" s="27"/>
      <c r="Q312" s="27"/>
      <c r="R312" s="27"/>
      <c r="S312" s="27"/>
      <c r="T312" s="27"/>
      <c r="U312" s="27"/>
      <c r="V312" s="28"/>
      <c r="W312" s="28"/>
      <c r="X312" s="28"/>
      <c r="Y312" s="28"/>
      <c r="Z312" s="28"/>
      <c r="AA312" s="28"/>
      <c r="AB312" s="28"/>
      <c r="AC312" s="28"/>
      <c r="AD312" s="28"/>
      <c r="AE312" s="28"/>
      <c r="AF312" s="28"/>
      <c r="AG312" s="28"/>
      <c r="AH312" s="28"/>
      <c r="AI312" s="28"/>
      <c r="AJ312" s="28"/>
      <c r="AK312" s="28"/>
      <c r="AL312" s="28"/>
    </row>
    <row r="313" spans="1:38" s="29" customFormat="1" ht="15.75" customHeight="1">
      <c r="A313" s="123">
        <f>A310+1</f>
        <v>261</v>
      </c>
      <c r="B313" s="101">
        <v>1</v>
      </c>
      <c r="C313" s="102" t="s">
        <v>755</v>
      </c>
      <c r="D313" s="103" t="s">
        <v>756</v>
      </c>
      <c r="E313" s="102" t="s">
        <v>45</v>
      </c>
      <c r="F313" s="104">
        <v>3657333</v>
      </c>
      <c r="G313" s="105"/>
      <c r="H313" s="106">
        <v>20000000</v>
      </c>
      <c r="I313" s="107"/>
      <c r="J313" s="26"/>
      <c r="K313" s="43"/>
      <c r="L313" s="27"/>
      <c r="M313" s="27"/>
      <c r="N313" s="27"/>
      <c r="O313" s="27"/>
      <c r="P313" s="27"/>
      <c r="Q313" s="27"/>
      <c r="R313" s="27"/>
      <c r="S313" s="27"/>
      <c r="T313" s="27"/>
      <c r="U313" s="27"/>
      <c r="V313" s="28"/>
      <c r="W313" s="28"/>
      <c r="X313" s="28"/>
      <c r="Y313" s="28"/>
      <c r="Z313" s="28"/>
      <c r="AA313" s="28"/>
      <c r="AB313" s="28"/>
      <c r="AC313" s="28"/>
      <c r="AD313" s="28"/>
      <c r="AE313" s="28"/>
      <c r="AF313" s="28"/>
      <c r="AG313" s="28"/>
      <c r="AH313" s="28"/>
      <c r="AI313" s="28"/>
      <c r="AJ313" s="28"/>
      <c r="AK313" s="28"/>
      <c r="AL313" s="28"/>
    </row>
    <row r="314" spans="1:115" s="157" customFormat="1" ht="15.75" customHeight="1">
      <c r="A314" s="123">
        <f>A313+1</f>
        <v>262</v>
      </c>
      <c r="B314" s="101">
        <v>2</v>
      </c>
      <c r="C314" s="102" t="s">
        <v>788</v>
      </c>
      <c r="D314" s="103" t="s">
        <v>796</v>
      </c>
      <c r="E314" s="102" t="s">
        <v>471</v>
      </c>
      <c r="F314" s="104">
        <v>1115000</v>
      </c>
      <c r="G314" s="105"/>
      <c r="H314" s="106"/>
      <c r="I314" s="107"/>
      <c r="J314" s="26"/>
      <c r="K314" s="43"/>
      <c r="L314" s="27"/>
      <c r="M314" s="27"/>
      <c r="N314" s="27"/>
      <c r="O314" s="27"/>
      <c r="P314" s="27"/>
      <c r="Q314" s="27"/>
      <c r="R314" s="27"/>
      <c r="S314" s="27"/>
      <c r="T314" s="27"/>
      <c r="U314" s="27"/>
      <c r="V314" s="28"/>
      <c r="W314" s="28"/>
      <c r="X314" s="28"/>
      <c r="Y314" s="28"/>
      <c r="Z314" s="28"/>
      <c r="AA314" s="28"/>
      <c r="AB314" s="28"/>
      <c r="AC314" s="28"/>
      <c r="AD314" s="28"/>
      <c r="AE314" s="28"/>
      <c r="AF314" s="28"/>
      <c r="AG314" s="28"/>
      <c r="AH314" s="28"/>
      <c r="AI314" s="28"/>
      <c r="AJ314" s="28"/>
      <c r="AK314" s="28"/>
      <c r="AL314" s="28"/>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156"/>
    </row>
    <row r="315" spans="1:115" s="157" customFormat="1" ht="15.75" customHeight="1">
      <c r="A315" s="123">
        <v>263</v>
      </c>
      <c r="B315" s="101">
        <v>3</v>
      </c>
      <c r="C315" s="102" t="s">
        <v>790</v>
      </c>
      <c r="D315" s="103" t="s">
        <v>789</v>
      </c>
      <c r="E315" s="102" t="s">
        <v>381</v>
      </c>
      <c r="F315" s="104">
        <f>2067012.59/2.75</f>
        <v>751640.9418181819</v>
      </c>
      <c r="G315" s="105"/>
      <c r="H315" s="106"/>
      <c r="I315" s="107"/>
      <c r="J315" s="26"/>
      <c r="K315" s="43"/>
      <c r="L315" s="27"/>
      <c r="M315" s="27"/>
      <c r="N315" s="27"/>
      <c r="O315" s="27"/>
      <c r="P315" s="27"/>
      <c r="Q315" s="27"/>
      <c r="R315" s="27"/>
      <c r="S315" s="27"/>
      <c r="T315" s="27"/>
      <c r="U315" s="27"/>
      <c r="V315" s="28"/>
      <c r="W315" s="28"/>
      <c r="X315" s="28"/>
      <c r="Y315" s="28"/>
      <c r="Z315" s="28"/>
      <c r="AA315" s="28"/>
      <c r="AB315" s="28"/>
      <c r="AC315" s="28"/>
      <c r="AD315" s="28"/>
      <c r="AE315" s="28"/>
      <c r="AF315" s="28"/>
      <c r="AG315" s="28"/>
      <c r="AH315" s="28"/>
      <c r="AI315" s="28"/>
      <c r="AJ315" s="28"/>
      <c r="AK315" s="28"/>
      <c r="AL315" s="28"/>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156"/>
    </row>
    <row r="316" spans="1:115" s="157" customFormat="1" ht="15.75" customHeight="1">
      <c r="A316" s="126">
        <v>264</v>
      </c>
      <c r="B316" s="127">
        <v>4</v>
      </c>
      <c r="C316" s="128" t="s">
        <v>798</v>
      </c>
      <c r="D316" s="129" t="s">
        <v>797</v>
      </c>
      <c r="E316" s="128" t="s">
        <v>471</v>
      </c>
      <c r="F316" s="130">
        <v>1945000</v>
      </c>
      <c r="G316" s="131"/>
      <c r="H316" s="132"/>
      <c r="I316" s="134"/>
      <c r="J316" s="26"/>
      <c r="K316" s="43"/>
      <c r="L316" s="27"/>
      <c r="M316" s="27"/>
      <c r="N316" s="27"/>
      <c r="O316" s="27"/>
      <c r="P316" s="27"/>
      <c r="Q316" s="27"/>
      <c r="R316" s="27"/>
      <c r="S316" s="27"/>
      <c r="T316" s="27"/>
      <c r="U316" s="27"/>
      <c r="V316" s="28"/>
      <c r="W316" s="28"/>
      <c r="X316" s="28"/>
      <c r="Y316" s="28"/>
      <c r="Z316" s="28"/>
      <c r="AA316" s="28"/>
      <c r="AB316" s="28"/>
      <c r="AC316" s="28"/>
      <c r="AD316" s="28"/>
      <c r="AE316" s="28"/>
      <c r="AF316" s="28"/>
      <c r="AG316" s="28"/>
      <c r="AH316" s="28"/>
      <c r="AI316" s="28"/>
      <c r="AJ316" s="28"/>
      <c r="AK316" s="28"/>
      <c r="AL316" s="28"/>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156"/>
    </row>
    <row r="317" spans="1:114" s="30" customFormat="1" ht="15.75" customHeight="1">
      <c r="A317" s="282" t="s">
        <v>773</v>
      </c>
      <c r="B317" s="283"/>
      <c r="C317" s="283"/>
      <c r="D317" s="283"/>
      <c r="E317" s="22"/>
      <c r="F317" s="23">
        <f>F313+F314+F315+F316</f>
        <v>7468973.941818181</v>
      </c>
      <c r="G317" s="23"/>
      <c r="H317" s="24">
        <v>20000000</v>
      </c>
      <c r="I317" s="25"/>
      <c r="J317" s="26"/>
      <c r="K317" s="27"/>
      <c r="L317" s="27"/>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row>
    <row r="318" spans="1:38" s="29" customFormat="1" ht="15.75" customHeight="1">
      <c r="A318" s="291">
        <v>2012</v>
      </c>
      <c r="B318" s="292"/>
      <c r="C318" s="292"/>
      <c r="D318" s="292"/>
      <c r="E318" s="292"/>
      <c r="F318" s="292"/>
      <c r="G318" s="292"/>
      <c r="H318" s="292"/>
      <c r="I318" s="293"/>
      <c r="J318" s="26"/>
      <c r="K318" s="43"/>
      <c r="L318" s="27"/>
      <c r="M318" s="27"/>
      <c r="N318" s="27"/>
      <c r="O318" s="27"/>
      <c r="P318" s="27"/>
      <c r="Q318" s="27"/>
      <c r="R318" s="27"/>
      <c r="S318" s="27"/>
      <c r="T318" s="27"/>
      <c r="U318" s="27"/>
      <c r="V318" s="28"/>
      <c r="W318" s="28"/>
      <c r="X318" s="28"/>
      <c r="Y318" s="28"/>
      <c r="Z318" s="28"/>
      <c r="AA318" s="28"/>
      <c r="AB318" s="28"/>
      <c r="AC318" s="28"/>
      <c r="AD318" s="28"/>
      <c r="AE318" s="28"/>
      <c r="AF318" s="28"/>
      <c r="AG318" s="28"/>
      <c r="AH318" s="28"/>
      <c r="AI318" s="28"/>
      <c r="AJ318" s="28"/>
      <c r="AK318" s="28"/>
      <c r="AL318" s="28"/>
    </row>
    <row r="319" spans="1:115" s="157" customFormat="1" ht="15.75" customHeight="1">
      <c r="A319" s="123">
        <f>A316+1</f>
        <v>265</v>
      </c>
      <c r="B319" s="101">
        <v>1</v>
      </c>
      <c r="C319" s="102" t="s">
        <v>822</v>
      </c>
      <c r="D319" s="103" t="s">
        <v>825</v>
      </c>
      <c r="E319" s="102" t="s">
        <v>381</v>
      </c>
      <c r="F319" s="104">
        <f>6500000/2.668</f>
        <v>2436281.8590704645</v>
      </c>
      <c r="G319" s="105"/>
      <c r="H319" s="106"/>
      <c r="I319" s="107"/>
      <c r="J319" s="26"/>
      <c r="K319" s="43"/>
      <c r="L319" s="27"/>
      <c r="M319" s="27"/>
      <c r="N319" s="27"/>
      <c r="O319" s="27"/>
      <c r="P319" s="27"/>
      <c r="Q319" s="27"/>
      <c r="R319" s="27"/>
      <c r="S319" s="27"/>
      <c r="T319" s="27"/>
      <c r="U319" s="27"/>
      <c r="V319" s="28"/>
      <c r="W319" s="28"/>
      <c r="X319" s="28"/>
      <c r="Y319" s="28"/>
      <c r="Z319" s="28"/>
      <c r="AA319" s="28"/>
      <c r="AB319" s="28"/>
      <c r="AC319" s="28"/>
      <c r="AD319" s="28"/>
      <c r="AE319" s="28"/>
      <c r="AF319" s="28"/>
      <c r="AG319" s="28"/>
      <c r="AH319" s="28"/>
      <c r="AI319" s="28"/>
      <c r="AJ319" s="28"/>
      <c r="AK319" s="28"/>
      <c r="AL319" s="28"/>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156"/>
    </row>
    <row r="320" spans="1:115" s="157" customFormat="1" ht="15.75" customHeight="1">
      <c r="A320" s="123">
        <f>A319+1</f>
        <v>266</v>
      </c>
      <c r="B320" s="101">
        <v>2</v>
      </c>
      <c r="C320" s="102" t="s">
        <v>823</v>
      </c>
      <c r="D320" s="103" t="s">
        <v>824</v>
      </c>
      <c r="E320" s="102" t="s">
        <v>381</v>
      </c>
      <c r="F320" s="104">
        <f>46080620/2.69</f>
        <v>17130342.007434946</v>
      </c>
      <c r="G320" s="105"/>
      <c r="H320" s="106"/>
      <c r="I320" s="107"/>
      <c r="J320" s="26"/>
      <c r="K320" s="43"/>
      <c r="L320" s="27"/>
      <c r="M320" s="27"/>
      <c r="N320" s="27"/>
      <c r="O320" s="27"/>
      <c r="P320" s="27"/>
      <c r="Q320" s="27"/>
      <c r="R320" s="27"/>
      <c r="S320" s="27"/>
      <c r="T320" s="27"/>
      <c r="U320" s="27"/>
      <c r="V320" s="28"/>
      <c r="W320" s="28"/>
      <c r="X320" s="28"/>
      <c r="Y320" s="28"/>
      <c r="Z320" s="28"/>
      <c r="AA320" s="28"/>
      <c r="AB320" s="28"/>
      <c r="AC320" s="28"/>
      <c r="AD320" s="28"/>
      <c r="AE320" s="28"/>
      <c r="AF320" s="28"/>
      <c r="AG320" s="28"/>
      <c r="AH320" s="28"/>
      <c r="AI320" s="28"/>
      <c r="AJ320" s="28"/>
      <c r="AK320" s="28"/>
      <c r="AL320" s="28"/>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156"/>
    </row>
    <row r="321" spans="1:115" s="157" customFormat="1" ht="15.75" customHeight="1">
      <c r="A321" s="123">
        <f>A320+1</f>
        <v>267</v>
      </c>
      <c r="B321" s="101">
        <v>3</v>
      </c>
      <c r="C321" s="135">
        <v>41214</v>
      </c>
      <c r="D321" s="111" t="s">
        <v>834</v>
      </c>
      <c r="E321" s="102" t="s">
        <v>471</v>
      </c>
      <c r="F321" s="104">
        <f>(412400/2.56)+(273000/2.58)</f>
        <v>266907.7034883721</v>
      </c>
      <c r="G321" s="105"/>
      <c r="H321" s="106"/>
      <c r="I321" s="107"/>
      <c r="J321" s="26"/>
      <c r="K321" s="43"/>
      <c r="L321" s="27"/>
      <c r="M321" s="27"/>
      <c r="N321" s="27"/>
      <c r="O321" s="27"/>
      <c r="P321" s="27"/>
      <c r="Q321" s="27"/>
      <c r="R321" s="27"/>
      <c r="S321" s="27"/>
      <c r="T321" s="27"/>
      <c r="U321" s="27"/>
      <c r="V321" s="28"/>
      <c r="W321" s="28"/>
      <c r="X321" s="28"/>
      <c r="Y321" s="28"/>
      <c r="Z321" s="28"/>
      <c r="AA321" s="28"/>
      <c r="AB321" s="28"/>
      <c r="AC321" s="28"/>
      <c r="AD321" s="28"/>
      <c r="AE321" s="28"/>
      <c r="AF321" s="28"/>
      <c r="AG321" s="28"/>
      <c r="AH321" s="28"/>
      <c r="AI321" s="28"/>
      <c r="AJ321" s="28"/>
      <c r="AK321" s="28"/>
      <c r="AL321" s="28"/>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156"/>
    </row>
    <row r="322" spans="1:114" s="30" customFormat="1" ht="15.75" customHeight="1">
      <c r="A322" s="282" t="s">
        <v>821</v>
      </c>
      <c r="B322" s="283"/>
      <c r="C322" s="283"/>
      <c r="D322" s="283"/>
      <c r="E322" s="22"/>
      <c r="F322" s="23">
        <f>F319+F320+F321</f>
        <v>19833531.569993783</v>
      </c>
      <c r="G322" s="23"/>
      <c r="H322" s="24"/>
      <c r="I322" s="25"/>
      <c r="J322" s="26"/>
      <c r="K322" s="27"/>
      <c r="L322" s="27"/>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row>
    <row r="323" spans="1:38" s="29" customFormat="1" ht="15.75" customHeight="1">
      <c r="A323" s="291">
        <v>2013</v>
      </c>
      <c r="B323" s="292"/>
      <c r="C323" s="292"/>
      <c r="D323" s="292"/>
      <c r="E323" s="292"/>
      <c r="F323" s="292"/>
      <c r="G323" s="292"/>
      <c r="H323" s="292"/>
      <c r="I323" s="293"/>
      <c r="J323" s="26"/>
      <c r="K323" s="43"/>
      <c r="L323" s="27"/>
      <c r="M323" s="27"/>
      <c r="N323" s="27"/>
      <c r="O323" s="27"/>
      <c r="P323" s="27"/>
      <c r="Q323" s="27"/>
      <c r="R323" s="27"/>
      <c r="S323" s="27"/>
      <c r="T323" s="27"/>
      <c r="U323" s="27"/>
      <c r="V323" s="28"/>
      <c r="W323" s="28"/>
      <c r="X323" s="28"/>
      <c r="Y323" s="28"/>
      <c r="Z323" s="28"/>
      <c r="AA323" s="28"/>
      <c r="AB323" s="28"/>
      <c r="AC323" s="28"/>
      <c r="AD323" s="28"/>
      <c r="AE323" s="28"/>
      <c r="AF323" s="28"/>
      <c r="AG323" s="28"/>
      <c r="AH323" s="28"/>
      <c r="AI323" s="28"/>
      <c r="AJ323" s="28"/>
      <c r="AK323" s="28"/>
      <c r="AL323" s="28"/>
    </row>
    <row r="324" spans="1:115" s="157" customFormat="1" ht="15.75" customHeight="1">
      <c r="A324" s="123">
        <f>A321+1</f>
        <v>268</v>
      </c>
      <c r="B324" s="101">
        <v>1</v>
      </c>
      <c r="C324" s="102" t="s">
        <v>839</v>
      </c>
      <c r="D324" s="111" t="s">
        <v>840</v>
      </c>
      <c r="E324" s="102" t="s">
        <v>471</v>
      </c>
      <c r="F324" s="112">
        <v>12200000</v>
      </c>
      <c r="G324" s="105"/>
      <c r="H324" s="106"/>
      <c r="I324" s="107"/>
      <c r="J324" s="26"/>
      <c r="K324" s="43"/>
      <c r="L324" s="27"/>
      <c r="M324" s="27"/>
      <c r="N324" s="27"/>
      <c r="O324" s="27"/>
      <c r="P324" s="27"/>
      <c r="Q324" s="27"/>
      <c r="R324" s="27"/>
      <c r="S324" s="27"/>
      <c r="T324" s="27"/>
      <c r="U324" s="27"/>
      <c r="V324" s="28"/>
      <c r="W324" s="28"/>
      <c r="X324" s="28"/>
      <c r="Y324" s="28"/>
      <c r="Z324" s="28"/>
      <c r="AA324" s="28"/>
      <c r="AB324" s="28"/>
      <c r="AC324" s="28"/>
      <c r="AD324" s="28"/>
      <c r="AE324" s="28"/>
      <c r="AF324" s="28"/>
      <c r="AG324" s="28"/>
      <c r="AH324" s="28"/>
      <c r="AI324" s="28"/>
      <c r="AJ324" s="28"/>
      <c r="AK324" s="28"/>
      <c r="AL324" s="28"/>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156"/>
    </row>
    <row r="325" spans="1:114" s="30" customFormat="1" ht="21" customHeight="1">
      <c r="A325" s="126">
        <f>A324+1</f>
        <v>269</v>
      </c>
      <c r="B325" s="127">
        <f>B324+1</f>
        <v>2</v>
      </c>
      <c r="C325" s="158" t="s">
        <v>853</v>
      </c>
      <c r="D325" s="142" t="s">
        <v>852</v>
      </c>
      <c r="E325" s="128" t="s">
        <v>381</v>
      </c>
      <c r="F325" s="130">
        <f>134315.61+3591.81+(5708.45/2.79)</f>
        <v>139953.45942652327</v>
      </c>
      <c r="G325" s="131"/>
      <c r="H325" s="159"/>
      <c r="I325" s="134"/>
      <c r="J325" s="26"/>
      <c r="K325" s="43"/>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row>
    <row r="326" spans="1:114" s="30" customFormat="1" ht="15.75" customHeight="1">
      <c r="A326" s="282" t="s">
        <v>841</v>
      </c>
      <c r="B326" s="283"/>
      <c r="C326" s="283"/>
      <c r="D326" s="283"/>
      <c r="E326" s="22"/>
      <c r="F326" s="23">
        <f>SUM(F324:F325)</f>
        <v>12339953.459426524</v>
      </c>
      <c r="G326" s="23"/>
      <c r="H326" s="24"/>
      <c r="I326" s="25"/>
      <c r="J326" s="26"/>
      <c r="K326" s="27"/>
      <c r="L326" s="27"/>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row>
    <row r="327" spans="1:38" s="29" customFormat="1" ht="15.75" customHeight="1">
      <c r="A327" s="291"/>
      <c r="B327" s="292"/>
      <c r="C327" s="292"/>
      <c r="D327" s="292"/>
      <c r="E327" s="292"/>
      <c r="F327" s="292"/>
      <c r="G327" s="292"/>
      <c r="H327" s="292"/>
      <c r="I327" s="293"/>
      <c r="J327" s="26"/>
      <c r="K327" s="43"/>
      <c r="L327" s="27"/>
      <c r="M327" s="27"/>
      <c r="N327" s="27"/>
      <c r="O327" s="27"/>
      <c r="P327" s="27"/>
      <c r="Q327" s="27"/>
      <c r="R327" s="27"/>
      <c r="S327" s="27"/>
      <c r="T327" s="27"/>
      <c r="U327" s="27"/>
      <c r="V327" s="28"/>
      <c r="W327" s="28"/>
      <c r="X327" s="28"/>
      <c r="Y327" s="28"/>
      <c r="Z327" s="28"/>
      <c r="AA327" s="28"/>
      <c r="AB327" s="28"/>
      <c r="AC327" s="28"/>
      <c r="AD327" s="28"/>
      <c r="AE327" s="28"/>
      <c r="AF327" s="28"/>
      <c r="AG327" s="28"/>
      <c r="AH327" s="28"/>
      <c r="AI327" s="28"/>
      <c r="AJ327" s="28"/>
      <c r="AK327" s="28"/>
      <c r="AL327" s="28"/>
    </row>
    <row r="328" spans="1:115" s="157" customFormat="1" ht="30.75" customHeight="1">
      <c r="A328" s="123">
        <f>A325+1</f>
        <v>270</v>
      </c>
      <c r="B328" s="101">
        <v>1</v>
      </c>
      <c r="C328" s="102" t="s">
        <v>1048</v>
      </c>
      <c r="D328" s="253" t="s">
        <v>1050</v>
      </c>
      <c r="E328" s="102" t="s">
        <v>471</v>
      </c>
      <c r="F328" s="112">
        <f>(370000+2700111.8+7690005.76+848959.85)/2.78</f>
        <v>4175927.1258992804</v>
      </c>
      <c r="G328" s="105"/>
      <c r="H328" s="106"/>
      <c r="I328" s="107"/>
      <c r="J328" s="26"/>
      <c r="K328" s="43"/>
      <c r="L328" s="27"/>
      <c r="M328" s="27"/>
      <c r="N328" s="27"/>
      <c r="O328" s="27"/>
      <c r="P328" s="27"/>
      <c r="Q328" s="27"/>
      <c r="R328" s="27"/>
      <c r="S328" s="27"/>
      <c r="T328" s="27"/>
      <c r="U328" s="27"/>
      <c r="V328" s="28"/>
      <c r="W328" s="28"/>
      <c r="X328" s="28"/>
      <c r="Y328" s="28"/>
      <c r="Z328" s="28"/>
      <c r="AA328" s="28"/>
      <c r="AB328" s="28"/>
      <c r="AC328" s="28"/>
      <c r="AD328" s="28"/>
      <c r="AE328" s="28"/>
      <c r="AF328" s="28"/>
      <c r="AG328" s="28"/>
      <c r="AH328" s="28"/>
      <c r="AI328" s="28"/>
      <c r="AJ328" s="28"/>
      <c r="AK328" s="28"/>
      <c r="AL328" s="28"/>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156"/>
    </row>
    <row r="329" spans="1:115" s="157" customFormat="1" ht="15.75" customHeight="1">
      <c r="A329" s="123">
        <f>A328+1</f>
        <v>271</v>
      </c>
      <c r="B329" s="101">
        <f>B328+1</f>
        <v>2</v>
      </c>
      <c r="C329" s="102" t="s">
        <v>1049</v>
      </c>
      <c r="D329" s="111" t="s">
        <v>1051</v>
      </c>
      <c r="E329" s="102" t="s">
        <v>471</v>
      </c>
      <c r="F329" s="112">
        <f>5610001/2.8</f>
        <v>2003571.785714286</v>
      </c>
      <c r="G329" s="105"/>
      <c r="H329" s="106"/>
      <c r="I329" s="107"/>
      <c r="J329" s="26"/>
      <c r="K329" s="43"/>
      <c r="L329" s="27"/>
      <c r="M329" s="27"/>
      <c r="N329" s="27"/>
      <c r="O329" s="27"/>
      <c r="P329" s="27"/>
      <c r="Q329" s="27"/>
      <c r="R329" s="27"/>
      <c r="S329" s="27"/>
      <c r="T329" s="27"/>
      <c r="U329" s="27"/>
      <c r="V329" s="28"/>
      <c r="W329" s="28"/>
      <c r="X329" s="28"/>
      <c r="Y329" s="28"/>
      <c r="Z329" s="28"/>
      <c r="AA329" s="28"/>
      <c r="AB329" s="28"/>
      <c r="AC329" s="28"/>
      <c r="AD329" s="28"/>
      <c r="AE329" s="28"/>
      <c r="AF329" s="28"/>
      <c r="AG329" s="28"/>
      <c r="AH329" s="28"/>
      <c r="AI329" s="28"/>
      <c r="AJ329" s="28"/>
      <c r="AK329" s="28"/>
      <c r="AL329" s="28"/>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156"/>
    </row>
    <row r="330" spans="1:114" s="30" customFormat="1" ht="15.75" customHeight="1">
      <c r="A330" s="282" t="s">
        <v>1071</v>
      </c>
      <c r="B330" s="283"/>
      <c r="C330" s="283"/>
      <c r="D330" s="283"/>
      <c r="E330" s="22"/>
      <c r="F330" s="23">
        <f>SUM(F328:F329)</f>
        <v>6179498.911613567</v>
      </c>
      <c r="G330" s="23"/>
      <c r="H330" s="24"/>
      <c r="I330" s="25"/>
      <c r="J330" s="26"/>
      <c r="K330" s="27"/>
      <c r="L330" s="27"/>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row>
    <row r="331" spans="1:38" s="29" customFormat="1" ht="15.75" customHeight="1">
      <c r="A331" s="160"/>
      <c r="B331" s="143"/>
      <c r="C331" s="161"/>
      <c r="D331" s="143"/>
      <c r="E331" s="162"/>
      <c r="F331" s="163"/>
      <c r="G331" s="164"/>
      <c r="H331" s="163"/>
      <c r="I331" s="165"/>
      <c r="J331" s="26"/>
      <c r="K331" s="43"/>
      <c r="L331" s="27"/>
      <c r="M331" s="27"/>
      <c r="N331" s="27"/>
      <c r="O331" s="27"/>
      <c r="P331" s="27"/>
      <c r="Q331" s="27"/>
      <c r="R331" s="27"/>
      <c r="S331" s="27"/>
      <c r="T331" s="27"/>
      <c r="U331" s="27"/>
      <c r="V331" s="28"/>
      <c r="W331" s="28"/>
      <c r="X331" s="28"/>
      <c r="Y331" s="28"/>
      <c r="Z331" s="28"/>
      <c r="AA331" s="28"/>
      <c r="AB331" s="28"/>
      <c r="AC331" s="28"/>
      <c r="AD331" s="28"/>
      <c r="AE331" s="28"/>
      <c r="AF331" s="28"/>
      <c r="AG331" s="28"/>
      <c r="AH331" s="28"/>
      <c r="AI331" s="28"/>
      <c r="AJ331" s="28"/>
      <c r="AK331" s="28"/>
      <c r="AL331" s="28"/>
    </row>
    <row r="332" spans="1:114" s="30" customFormat="1" ht="15.75" customHeight="1">
      <c r="A332" s="282" t="s">
        <v>425</v>
      </c>
      <c r="B332" s="283"/>
      <c r="C332" s="283"/>
      <c r="D332" s="283"/>
      <c r="E332" s="22"/>
      <c r="F332" s="23">
        <f>F25+F40+F65+F97+F136+F170+F195+F213+F222+F237+F249+F259+F268+F280+F290+F298+F303+F306+F311+F317+F322+F326+F330</f>
        <v>9580122653.32821</v>
      </c>
      <c r="G332" s="23"/>
      <c r="H332" s="24">
        <f>H25+H40+H65+H97+H136+H170+H195+H213+H222+H237+H249+H259+H268+H280+H290+H298+H303+H311+H317+H322+H326</f>
        <v>20857652094.02198</v>
      </c>
      <c r="I332" s="25"/>
      <c r="J332" s="26"/>
      <c r="K332" s="27"/>
      <c r="L332" s="27"/>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row>
    <row r="333" spans="1:38" s="41" customFormat="1" ht="13.5" customHeight="1">
      <c r="A333" s="166"/>
      <c r="B333" s="166"/>
      <c r="C333" s="166"/>
      <c r="D333" s="166"/>
      <c r="E333" s="166"/>
      <c r="F333" s="167"/>
      <c r="G333" s="168"/>
      <c r="H333" s="166"/>
      <c r="I333" s="168"/>
      <c r="J333" s="65"/>
      <c r="K333" s="66"/>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row>
    <row r="334" spans="1:114" s="42" customFormat="1" ht="15.75" customHeight="1">
      <c r="A334" s="285" t="s">
        <v>132</v>
      </c>
      <c r="B334" s="286"/>
      <c r="C334" s="286"/>
      <c r="D334" s="286"/>
      <c r="E334" s="286"/>
      <c r="F334" s="286"/>
      <c r="G334" s="286"/>
      <c r="H334" s="286"/>
      <c r="I334" s="287"/>
      <c r="J334" s="65"/>
      <c r="K334" s="66"/>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row>
    <row r="335" spans="1:114" s="38" customFormat="1" ht="15.75" customHeight="1">
      <c r="A335" s="123">
        <f>A329+1</f>
        <v>272</v>
      </c>
      <c r="B335" s="101">
        <v>1</v>
      </c>
      <c r="C335" s="102" t="s">
        <v>292</v>
      </c>
      <c r="D335" s="103" t="s">
        <v>133</v>
      </c>
      <c r="E335" s="102" t="s">
        <v>10</v>
      </c>
      <c r="F335" s="104">
        <v>46559024.6571944</v>
      </c>
      <c r="G335" s="105"/>
      <c r="H335" s="106"/>
      <c r="I335" s="107"/>
      <c r="J335" s="26"/>
      <c r="K335" s="43"/>
      <c r="L335" s="27"/>
      <c r="M335" s="27"/>
      <c r="N335" s="27"/>
      <c r="O335" s="27"/>
      <c r="P335" s="27"/>
      <c r="Q335" s="27"/>
      <c r="R335" s="27"/>
      <c r="S335" s="27"/>
      <c r="T335" s="27"/>
      <c r="U335" s="27"/>
      <c r="V335" s="28"/>
      <c r="W335" s="28"/>
      <c r="X335" s="28"/>
      <c r="Y335" s="28"/>
      <c r="Z335" s="28"/>
      <c r="AA335" s="28"/>
      <c r="AB335" s="28"/>
      <c r="AC335" s="28"/>
      <c r="AD335" s="28"/>
      <c r="AE335" s="28"/>
      <c r="AF335" s="28"/>
      <c r="AG335" s="28"/>
      <c r="AH335" s="28"/>
      <c r="AI335" s="28"/>
      <c r="AJ335" s="28"/>
      <c r="AK335" s="28"/>
      <c r="AL335" s="28"/>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row>
    <row r="336" spans="1:114" s="30" customFormat="1" ht="15.75" customHeight="1">
      <c r="A336" s="160" t="s">
        <v>134</v>
      </c>
      <c r="B336" s="169"/>
      <c r="C336" s="170"/>
      <c r="D336" s="169"/>
      <c r="E336" s="170"/>
      <c r="F336" s="163">
        <f>SUM(F335:F335)</f>
        <v>46559024.6571944</v>
      </c>
      <c r="G336" s="164"/>
      <c r="H336" s="163">
        <f>SUM(H335:H335)</f>
        <v>0</v>
      </c>
      <c r="I336" s="171"/>
      <c r="J336" s="26"/>
      <c r="K336" s="43"/>
      <c r="L336" s="27"/>
      <c r="M336" s="27"/>
      <c r="N336" s="27"/>
      <c r="O336" s="27"/>
      <c r="P336" s="27"/>
      <c r="Q336" s="27"/>
      <c r="R336" s="27"/>
      <c r="S336" s="27"/>
      <c r="T336" s="27"/>
      <c r="U336" s="27"/>
      <c r="V336" s="28"/>
      <c r="W336" s="28"/>
      <c r="X336" s="28"/>
      <c r="Y336" s="28"/>
      <c r="Z336" s="28"/>
      <c r="AA336" s="28"/>
      <c r="AB336" s="28"/>
      <c r="AC336" s="28"/>
      <c r="AD336" s="28"/>
      <c r="AE336" s="28"/>
      <c r="AF336" s="28"/>
      <c r="AG336" s="28"/>
      <c r="AH336" s="28"/>
      <c r="AI336" s="28"/>
      <c r="AJ336" s="28"/>
      <c r="AK336" s="28"/>
      <c r="AL336" s="28"/>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row>
    <row r="337" spans="1:114" s="30" customFormat="1" ht="8.25" customHeight="1">
      <c r="A337" s="90"/>
      <c r="B337" s="90"/>
      <c r="C337" s="91"/>
      <c r="D337" s="90"/>
      <c r="E337" s="91"/>
      <c r="F337" s="93"/>
      <c r="G337" s="94"/>
      <c r="H337" s="93"/>
      <c r="I337" s="172"/>
      <c r="J337" s="26"/>
      <c r="K337" s="43"/>
      <c r="L337" s="27"/>
      <c r="M337" s="27"/>
      <c r="N337" s="27"/>
      <c r="O337" s="27"/>
      <c r="P337" s="27"/>
      <c r="Q337" s="27"/>
      <c r="R337" s="27"/>
      <c r="S337" s="27"/>
      <c r="T337" s="27"/>
      <c r="U337" s="27"/>
      <c r="V337" s="28"/>
      <c r="W337" s="28"/>
      <c r="X337" s="28"/>
      <c r="Y337" s="28"/>
      <c r="Z337" s="28"/>
      <c r="AA337" s="28"/>
      <c r="AB337" s="28"/>
      <c r="AC337" s="28"/>
      <c r="AD337" s="28"/>
      <c r="AE337" s="28"/>
      <c r="AF337" s="28"/>
      <c r="AG337" s="28"/>
      <c r="AH337" s="28"/>
      <c r="AI337" s="28"/>
      <c r="AJ337" s="28"/>
      <c r="AK337" s="28"/>
      <c r="AL337" s="28"/>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row>
    <row r="338" spans="1:114" s="30" customFormat="1" ht="15.75" customHeight="1">
      <c r="A338" s="282" t="s">
        <v>135</v>
      </c>
      <c r="B338" s="283"/>
      <c r="C338" s="283"/>
      <c r="D338" s="283"/>
      <c r="E338" s="22"/>
      <c r="F338" s="23">
        <f>F11+F332+F336</f>
        <v>9629275524.985405</v>
      </c>
      <c r="G338" s="23"/>
      <c r="H338" s="24">
        <f>H11+H332+H336</f>
        <v>20857652094.02198</v>
      </c>
      <c r="I338" s="25"/>
      <c r="J338" s="26"/>
      <c r="K338" s="27"/>
      <c r="L338" s="27"/>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row>
    <row r="339" spans="1:114" s="30" customFormat="1" ht="9.75" customHeight="1" thickBot="1">
      <c r="A339" s="90"/>
      <c r="B339" s="90"/>
      <c r="C339" s="91"/>
      <c r="D339" s="90"/>
      <c r="E339" s="91"/>
      <c r="F339" s="93"/>
      <c r="G339" s="94"/>
      <c r="H339" s="93"/>
      <c r="I339" s="172"/>
      <c r="J339" s="26"/>
      <c r="K339" s="43"/>
      <c r="L339" s="27"/>
      <c r="M339" s="27"/>
      <c r="N339" s="27"/>
      <c r="O339" s="27"/>
      <c r="P339" s="27"/>
      <c r="Q339" s="27"/>
      <c r="R339" s="27"/>
      <c r="S339" s="27"/>
      <c r="T339" s="27"/>
      <c r="U339" s="27"/>
      <c r="V339" s="28"/>
      <c r="W339" s="28"/>
      <c r="X339" s="28"/>
      <c r="Y339" s="28"/>
      <c r="Z339" s="28"/>
      <c r="AA339" s="28"/>
      <c r="AB339" s="28"/>
      <c r="AC339" s="28"/>
      <c r="AD339" s="28"/>
      <c r="AE339" s="28"/>
      <c r="AF339" s="28"/>
      <c r="AG339" s="28"/>
      <c r="AH339" s="28"/>
      <c r="AI339" s="28"/>
      <c r="AJ339" s="28"/>
      <c r="AK339" s="28"/>
      <c r="AL339" s="28"/>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row>
    <row r="340" spans="1:114" s="38" customFormat="1" ht="24.75" customHeight="1" thickBot="1">
      <c r="A340" s="279" t="s">
        <v>507</v>
      </c>
      <c r="B340" s="280"/>
      <c r="C340" s="280"/>
      <c r="D340" s="280"/>
      <c r="E340" s="280"/>
      <c r="F340" s="280"/>
      <c r="G340" s="280"/>
      <c r="H340" s="280"/>
      <c r="I340" s="281"/>
      <c r="J340" s="37"/>
      <c r="K340" s="27"/>
      <c r="L340" s="27"/>
      <c r="M340" s="27"/>
      <c r="N340" s="27"/>
      <c r="O340" s="27"/>
      <c r="P340" s="27"/>
      <c r="Q340" s="27"/>
      <c r="R340" s="27"/>
      <c r="S340" s="27"/>
      <c r="T340" s="27"/>
      <c r="U340" s="27"/>
      <c r="V340" s="28"/>
      <c r="W340" s="28"/>
      <c r="X340" s="28"/>
      <c r="Y340" s="28"/>
      <c r="Z340" s="28"/>
      <c r="AA340" s="28"/>
      <c r="AB340" s="28"/>
      <c r="AC340" s="28"/>
      <c r="AD340" s="28"/>
      <c r="AE340" s="28"/>
      <c r="AF340" s="28"/>
      <c r="AG340" s="28"/>
      <c r="AH340" s="28"/>
      <c r="AI340" s="28"/>
      <c r="AJ340" s="28"/>
      <c r="AK340" s="28"/>
      <c r="AL340" s="28"/>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row>
    <row r="341" spans="1:114" s="44" customFormat="1" ht="9.75" customHeight="1">
      <c r="A341" s="90"/>
      <c r="B341" s="90"/>
      <c r="C341" s="91"/>
      <c r="D341" s="90"/>
      <c r="E341" s="91"/>
      <c r="F341" s="90"/>
      <c r="G341" s="173"/>
      <c r="H341" s="90"/>
      <c r="I341" s="173"/>
      <c r="J341" s="26"/>
      <c r="K341" s="43"/>
      <c r="L341" s="27"/>
      <c r="M341" s="27"/>
      <c r="N341" s="27"/>
      <c r="O341" s="27"/>
      <c r="P341" s="27"/>
      <c r="Q341" s="27"/>
      <c r="R341" s="27"/>
      <c r="S341" s="27"/>
      <c r="T341" s="27"/>
      <c r="U341" s="27"/>
      <c r="V341" s="28"/>
      <c r="W341" s="28"/>
      <c r="X341" s="28"/>
      <c r="Y341" s="28"/>
      <c r="Z341" s="28"/>
      <c r="AA341" s="28"/>
      <c r="AB341" s="28"/>
      <c r="AC341" s="28"/>
      <c r="AD341" s="28"/>
      <c r="AE341" s="28"/>
      <c r="AF341" s="28"/>
      <c r="AG341" s="28"/>
      <c r="AH341" s="28"/>
      <c r="AI341" s="28"/>
      <c r="AJ341" s="28"/>
      <c r="AK341" s="28"/>
      <c r="AL341" s="28"/>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row>
    <row r="342" spans="1:114" s="42" customFormat="1" ht="15.75" customHeight="1">
      <c r="A342" s="285" t="s">
        <v>508</v>
      </c>
      <c r="B342" s="286"/>
      <c r="C342" s="286"/>
      <c r="D342" s="286"/>
      <c r="E342" s="286"/>
      <c r="F342" s="286"/>
      <c r="G342" s="286"/>
      <c r="H342" s="286"/>
      <c r="I342" s="287"/>
      <c r="J342" s="65"/>
      <c r="K342" s="66"/>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1"/>
      <c r="AN342" s="41"/>
      <c r="AO342" s="41"/>
      <c r="AP342" s="41"/>
      <c r="AQ342" s="41"/>
      <c r="AR342" s="41"/>
      <c r="AS342" s="41"/>
      <c r="AT342" s="41"/>
      <c r="AU342" s="41"/>
      <c r="AV342" s="41"/>
      <c r="AW342" s="41"/>
      <c r="AX342" s="41"/>
      <c r="AY342" s="41"/>
      <c r="AZ342" s="41"/>
      <c r="BA342" s="41"/>
      <c r="BB342" s="41"/>
      <c r="BC342" s="41"/>
      <c r="BD342" s="41"/>
      <c r="BE342" s="41"/>
      <c r="BF342" s="41"/>
      <c r="BG342" s="41"/>
      <c r="BH342" s="41"/>
      <c r="BI342" s="41"/>
      <c r="BJ342" s="41"/>
      <c r="BK342" s="41"/>
      <c r="BL342" s="41"/>
      <c r="BM342" s="41"/>
      <c r="BN342" s="41"/>
      <c r="BO342" s="41"/>
      <c r="BP342" s="41"/>
      <c r="BQ342" s="41"/>
      <c r="BR342" s="41"/>
      <c r="BS342" s="41"/>
      <c r="BT342" s="41"/>
      <c r="BU342" s="41"/>
      <c r="BV342" s="41"/>
      <c r="BW342" s="41"/>
      <c r="BX342" s="41"/>
      <c r="BY342" s="41"/>
      <c r="BZ342" s="41"/>
      <c r="CA342" s="41"/>
      <c r="CB342" s="41"/>
      <c r="CC342" s="41"/>
      <c r="CD342" s="41"/>
      <c r="CE342" s="41"/>
      <c r="CF342" s="41"/>
      <c r="CG342" s="41"/>
      <c r="CH342" s="41"/>
      <c r="CI342" s="41"/>
      <c r="CJ342" s="41"/>
      <c r="CK342" s="41"/>
      <c r="CL342" s="41"/>
      <c r="CM342" s="41"/>
      <c r="CN342" s="41"/>
      <c r="CO342" s="41"/>
      <c r="CP342" s="41"/>
      <c r="CQ342" s="41"/>
      <c r="CR342" s="41"/>
      <c r="CS342" s="41"/>
      <c r="CT342" s="41"/>
      <c r="CU342" s="41"/>
      <c r="CV342" s="41"/>
      <c r="CW342" s="41"/>
      <c r="CX342" s="41"/>
      <c r="CY342" s="41"/>
      <c r="CZ342" s="41"/>
      <c r="DA342" s="41"/>
      <c r="DB342" s="41"/>
      <c r="DC342" s="41"/>
      <c r="DD342" s="41"/>
      <c r="DE342" s="41"/>
      <c r="DF342" s="41"/>
      <c r="DG342" s="41"/>
      <c r="DH342" s="41"/>
      <c r="DI342" s="41"/>
      <c r="DJ342" s="41"/>
    </row>
    <row r="343" spans="1:114" s="38" customFormat="1" ht="15.75" customHeight="1">
      <c r="A343" s="123">
        <f>+A335+1</f>
        <v>273</v>
      </c>
      <c r="B343" s="101">
        <v>1</v>
      </c>
      <c r="C343" s="102" t="s">
        <v>509</v>
      </c>
      <c r="D343" s="103" t="s">
        <v>511</v>
      </c>
      <c r="E343" s="102" t="s">
        <v>598</v>
      </c>
      <c r="F343" s="104"/>
      <c r="G343" s="105"/>
      <c r="H343" s="106">
        <v>179000000</v>
      </c>
      <c r="I343" s="107" t="s">
        <v>696</v>
      </c>
      <c r="J343" s="26"/>
      <c r="K343" s="43"/>
      <c r="L343" s="27"/>
      <c r="M343" s="27"/>
      <c r="N343" s="27"/>
      <c r="O343" s="27"/>
      <c r="P343" s="27"/>
      <c r="Q343" s="27"/>
      <c r="R343" s="27"/>
      <c r="S343" s="27"/>
      <c r="T343" s="27"/>
      <c r="U343" s="27"/>
      <c r="V343" s="28"/>
      <c r="W343" s="28"/>
      <c r="X343" s="28"/>
      <c r="Y343" s="28"/>
      <c r="Z343" s="28"/>
      <c r="AA343" s="28"/>
      <c r="AB343" s="28"/>
      <c r="AC343" s="28"/>
      <c r="AD343" s="28"/>
      <c r="AE343" s="28"/>
      <c r="AF343" s="28"/>
      <c r="AG343" s="28"/>
      <c r="AH343" s="28"/>
      <c r="AI343" s="28"/>
      <c r="AJ343" s="28"/>
      <c r="AK343" s="28"/>
      <c r="AL343" s="28"/>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row>
    <row r="344" spans="1:114" s="38" customFormat="1" ht="15.75" customHeight="1">
      <c r="A344" s="126">
        <f>+A343+1</f>
        <v>274</v>
      </c>
      <c r="B344" s="127">
        <f>B343+1</f>
        <v>2</v>
      </c>
      <c r="C344" s="128" t="s">
        <v>510</v>
      </c>
      <c r="D344" s="129" t="s">
        <v>512</v>
      </c>
      <c r="E344" s="128" t="s">
        <v>736</v>
      </c>
      <c r="F344" s="130">
        <v>35100000</v>
      </c>
      <c r="G344" s="131"/>
      <c r="H344" s="132"/>
      <c r="I344" s="134"/>
      <c r="J344" s="26"/>
      <c r="K344" s="43"/>
      <c r="L344" s="27"/>
      <c r="M344" s="27"/>
      <c r="N344" s="27"/>
      <c r="O344" s="27"/>
      <c r="P344" s="27"/>
      <c r="Q344" s="27"/>
      <c r="R344" s="27"/>
      <c r="S344" s="27"/>
      <c r="T344" s="27"/>
      <c r="U344" s="27"/>
      <c r="V344" s="28"/>
      <c r="W344" s="28"/>
      <c r="X344" s="28"/>
      <c r="Y344" s="28"/>
      <c r="Z344" s="28"/>
      <c r="AA344" s="28"/>
      <c r="AB344" s="28"/>
      <c r="AC344" s="28"/>
      <c r="AD344" s="28"/>
      <c r="AE344" s="28"/>
      <c r="AF344" s="28"/>
      <c r="AG344" s="28"/>
      <c r="AH344" s="28"/>
      <c r="AI344" s="28"/>
      <c r="AJ344" s="28"/>
      <c r="AK344" s="28"/>
      <c r="AL344" s="28"/>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row>
    <row r="345" spans="1:114" s="30" customFormat="1" ht="15.75" customHeight="1">
      <c r="A345" s="282" t="s">
        <v>297</v>
      </c>
      <c r="B345" s="283"/>
      <c r="C345" s="283"/>
      <c r="D345" s="283"/>
      <c r="E345" s="22"/>
      <c r="F345" s="23">
        <f>SUM(F343:F344)</f>
        <v>35100000</v>
      </c>
      <c r="G345" s="23"/>
      <c r="H345" s="24">
        <f>SUM(H343:H344)</f>
        <v>179000000</v>
      </c>
      <c r="I345" s="25"/>
      <c r="J345" s="26"/>
      <c r="K345" s="27"/>
      <c r="L345" s="27"/>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row>
    <row r="346" spans="1:114" s="38" customFormat="1" ht="8.25" customHeight="1">
      <c r="A346" s="90"/>
      <c r="B346" s="90"/>
      <c r="C346" s="91"/>
      <c r="D346" s="90"/>
      <c r="E346" s="92"/>
      <c r="F346" s="93"/>
      <c r="G346" s="94"/>
      <c r="H346" s="174"/>
      <c r="I346" s="36"/>
      <c r="J346" s="26"/>
      <c r="K346" s="43"/>
      <c r="L346" s="27"/>
      <c r="M346" s="27"/>
      <c r="N346" s="27"/>
      <c r="O346" s="27"/>
      <c r="P346" s="27"/>
      <c r="Q346" s="27"/>
      <c r="R346" s="27"/>
      <c r="S346" s="27"/>
      <c r="T346" s="27"/>
      <c r="U346" s="27"/>
      <c r="V346" s="28"/>
      <c r="W346" s="28"/>
      <c r="X346" s="28"/>
      <c r="Y346" s="28"/>
      <c r="Z346" s="28"/>
      <c r="AA346" s="28"/>
      <c r="AB346" s="28"/>
      <c r="AC346" s="28"/>
      <c r="AD346" s="28"/>
      <c r="AE346" s="28"/>
      <c r="AF346" s="28"/>
      <c r="AG346" s="28"/>
      <c r="AH346" s="28"/>
      <c r="AI346" s="28"/>
      <c r="AJ346" s="28"/>
      <c r="AK346" s="28"/>
      <c r="AL346" s="28"/>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row>
    <row r="347" spans="1:114" s="67" customFormat="1" ht="15.75" customHeight="1">
      <c r="A347" s="285" t="s">
        <v>242</v>
      </c>
      <c r="B347" s="286"/>
      <c r="C347" s="286"/>
      <c r="D347" s="286"/>
      <c r="E347" s="286"/>
      <c r="F347" s="286"/>
      <c r="G347" s="286"/>
      <c r="H347" s="286"/>
      <c r="I347" s="287"/>
      <c r="J347" s="65"/>
      <c r="K347" s="66"/>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1"/>
      <c r="AN347" s="41"/>
      <c r="AO347" s="41"/>
      <c r="AP347" s="41"/>
      <c r="AQ347" s="41"/>
      <c r="AR347" s="41"/>
      <c r="AS347" s="41"/>
      <c r="AT347" s="41"/>
      <c r="AU347" s="41"/>
      <c r="AV347" s="41"/>
      <c r="AW347" s="41"/>
      <c r="AX347" s="41"/>
      <c r="AY347" s="41"/>
      <c r="AZ347" s="41"/>
      <c r="BA347" s="41"/>
      <c r="BB347" s="41"/>
      <c r="BC347" s="41"/>
      <c r="BD347" s="41"/>
      <c r="BE347" s="41"/>
      <c r="BF347" s="41"/>
      <c r="BG347" s="41"/>
      <c r="BH347" s="41"/>
      <c r="BI347" s="41"/>
      <c r="BJ347" s="41"/>
      <c r="BK347" s="41"/>
      <c r="BL347" s="41"/>
      <c r="BM347" s="41"/>
      <c r="BN347" s="41"/>
      <c r="BO347" s="41"/>
      <c r="BP347" s="41"/>
      <c r="BQ347" s="41"/>
      <c r="BR347" s="41"/>
      <c r="BS347" s="41"/>
      <c r="BT347" s="41"/>
      <c r="BU347" s="41"/>
      <c r="BV347" s="41"/>
      <c r="BW347" s="41"/>
      <c r="BX347" s="41"/>
      <c r="BY347" s="41"/>
      <c r="BZ347" s="41"/>
      <c r="CA347" s="41"/>
      <c r="CB347" s="41"/>
      <c r="CC347" s="41"/>
      <c r="CD347" s="41"/>
      <c r="CE347" s="41"/>
      <c r="CF347" s="41"/>
      <c r="CG347" s="41"/>
      <c r="CH347" s="41"/>
      <c r="CI347" s="41"/>
      <c r="CJ347" s="41"/>
      <c r="CK347" s="41"/>
      <c r="CL347" s="41"/>
      <c r="CM347" s="41"/>
      <c r="CN347" s="41"/>
      <c r="CO347" s="41"/>
      <c r="CP347" s="41"/>
      <c r="CQ347" s="41"/>
      <c r="CR347" s="41"/>
      <c r="CS347" s="41"/>
      <c r="CT347" s="41"/>
      <c r="CU347" s="41"/>
      <c r="CV347" s="41"/>
      <c r="CW347" s="41"/>
      <c r="CX347" s="41"/>
      <c r="CY347" s="41"/>
      <c r="CZ347" s="41"/>
      <c r="DA347" s="41"/>
      <c r="DB347" s="41"/>
      <c r="DC347" s="41"/>
      <c r="DD347" s="41"/>
      <c r="DE347" s="41"/>
      <c r="DF347" s="41"/>
      <c r="DG347" s="41"/>
      <c r="DH347" s="41"/>
      <c r="DI347" s="41"/>
      <c r="DJ347" s="41"/>
    </row>
    <row r="348" spans="1:114" s="38" customFormat="1" ht="15.75" customHeight="1">
      <c r="A348" s="123">
        <f>+A344+1</f>
        <v>275</v>
      </c>
      <c r="B348" s="101">
        <v>1</v>
      </c>
      <c r="C348" s="102" t="s">
        <v>141</v>
      </c>
      <c r="D348" s="103" t="s">
        <v>959</v>
      </c>
      <c r="E348" s="102" t="s">
        <v>688</v>
      </c>
      <c r="F348" s="104">
        <v>12000000</v>
      </c>
      <c r="G348" s="105"/>
      <c r="H348" s="106">
        <v>535723</v>
      </c>
      <c r="I348" s="107" t="s">
        <v>696</v>
      </c>
      <c r="J348" s="26"/>
      <c r="K348" s="43"/>
      <c r="L348" s="27"/>
      <c r="M348" s="27"/>
      <c r="N348" s="27"/>
      <c r="O348" s="27"/>
      <c r="P348" s="27"/>
      <c r="Q348" s="27"/>
      <c r="R348" s="27"/>
      <c r="S348" s="27"/>
      <c r="T348" s="27"/>
      <c r="U348" s="27"/>
      <c r="V348" s="28"/>
      <c r="W348" s="28"/>
      <c r="X348" s="28"/>
      <c r="Y348" s="28"/>
      <c r="Z348" s="28"/>
      <c r="AA348" s="28"/>
      <c r="AB348" s="28"/>
      <c r="AC348" s="28"/>
      <c r="AD348" s="28"/>
      <c r="AE348" s="28"/>
      <c r="AF348" s="28"/>
      <c r="AG348" s="28"/>
      <c r="AH348" s="28"/>
      <c r="AI348" s="28"/>
      <c r="AJ348" s="28"/>
      <c r="AK348" s="28"/>
      <c r="AL348" s="28"/>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row>
    <row r="349" spans="1:114" s="38" customFormat="1" ht="15.75" customHeight="1">
      <c r="A349" s="123">
        <f>A348+1</f>
        <v>276</v>
      </c>
      <c r="B349" s="101">
        <f>B348+1</f>
        <v>2</v>
      </c>
      <c r="C349" s="102" t="s">
        <v>142</v>
      </c>
      <c r="D349" s="103" t="s">
        <v>960</v>
      </c>
      <c r="E349" s="102" t="s">
        <v>688</v>
      </c>
      <c r="F349" s="104">
        <v>8700000</v>
      </c>
      <c r="G349" s="105"/>
      <c r="H349" s="106">
        <v>5000000</v>
      </c>
      <c r="I349" s="107"/>
      <c r="J349" s="26"/>
      <c r="K349" s="43"/>
      <c r="L349" s="27"/>
      <c r="M349" s="27"/>
      <c r="N349" s="27"/>
      <c r="O349" s="27"/>
      <c r="P349" s="27"/>
      <c r="Q349" s="27"/>
      <c r="R349" s="27"/>
      <c r="S349" s="27"/>
      <c r="T349" s="27"/>
      <c r="U349" s="27"/>
      <c r="V349" s="28"/>
      <c r="W349" s="28"/>
      <c r="X349" s="28"/>
      <c r="Y349" s="28"/>
      <c r="Z349" s="28"/>
      <c r="AA349" s="28"/>
      <c r="AB349" s="28"/>
      <c r="AC349" s="28"/>
      <c r="AD349" s="28"/>
      <c r="AE349" s="28"/>
      <c r="AF349" s="28"/>
      <c r="AG349" s="28"/>
      <c r="AH349" s="28"/>
      <c r="AI349" s="28"/>
      <c r="AJ349" s="28"/>
      <c r="AK349" s="28"/>
      <c r="AL349" s="28"/>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row>
    <row r="350" spans="1:114" s="30" customFormat="1" ht="15.75" customHeight="1">
      <c r="A350" s="282" t="s">
        <v>727</v>
      </c>
      <c r="B350" s="283"/>
      <c r="C350" s="283"/>
      <c r="D350" s="283"/>
      <c r="E350" s="22"/>
      <c r="F350" s="23">
        <f>SUM(F348:F349)</f>
        <v>20700000</v>
      </c>
      <c r="G350" s="23"/>
      <c r="H350" s="23">
        <f>SUM(H348:H349)</f>
        <v>5535723</v>
      </c>
      <c r="I350" s="25"/>
      <c r="J350" s="26"/>
      <c r="K350" s="27"/>
      <c r="L350" s="27"/>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row>
    <row r="351" spans="1:114" s="38" customFormat="1" ht="15.75" customHeight="1">
      <c r="A351" s="123">
        <f>A349+1</f>
        <v>277</v>
      </c>
      <c r="B351" s="101">
        <f>B349+1</f>
        <v>3</v>
      </c>
      <c r="C351" s="102" t="s">
        <v>43</v>
      </c>
      <c r="D351" s="103" t="s">
        <v>961</v>
      </c>
      <c r="E351" s="102" t="s">
        <v>45</v>
      </c>
      <c r="F351" s="104">
        <v>2112222</v>
      </c>
      <c r="G351" s="105"/>
      <c r="H351" s="106">
        <v>1184303</v>
      </c>
      <c r="I351" s="107" t="s">
        <v>696</v>
      </c>
      <c r="J351" s="26"/>
      <c r="K351" s="43"/>
      <c r="L351" s="27"/>
      <c r="M351" s="27"/>
      <c r="N351" s="27"/>
      <c r="O351" s="27"/>
      <c r="P351" s="27"/>
      <c r="Q351" s="27"/>
      <c r="R351" s="27"/>
      <c r="S351" s="27"/>
      <c r="T351" s="27"/>
      <c r="U351" s="27"/>
      <c r="V351" s="28"/>
      <c r="W351" s="28"/>
      <c r="X351" s="28"/>
      <c r="Y351" s="28"/>
      <c r="Z351" s="28"/>
      <c r="AA351" s="28"/>
      <c r="AB351" s="28"/>
      <c r="AC351" s="28"/>
      <c r="AD351" s="28"/>
      <c r="AE351" s="28"/>
      <c r="AF351" s="28"/>
      <c r="AG351" s="28"/>
      <c r="AH351" s="28"/>
      <c r="AI351" s="28"/>
      <c r="AJ351" s="28"/>
      <c r="AK351" s="28"/>
      <c r="AL351" s="28"/>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row>
    <row r="352" spans="1:114" s="38" customFormat="1" ht="15.75" customHeight="1">
      <c r="A352" s="123">
        <f aca="true" t="shared" si="29" ref="A352:B378">A351+1</f>
        <v>278</v>
      </c>
      <c r="B352" s="101">
        <f>B351+1</f>
        <v>4</v>
      </c>
      <c r="C352" s="102" t="s">
        <v>43</v>
      </c>
      <c r="D352" s="103" t="s">
        <v>962</v>
      </c>
      <c r="E352" s="102" t="s">
        <v>45</v>
      </c>
      <c r="F352" s="104">
        <v>4507777</v>
      </c>
      <c r="G352" s="105"/>
      <c r="H352" s="106">
        <v>5520960</v>
      </c>
      <c r="I352" s="107" t="s">
        <v>696</v>
      </c>
      <c r="J352" s="26"/>
      <c r="K352" s="43"/>
      <c r="L352" s="27"/>
      <c r="M352" s="27"/>
      <c r="N352" s="27"/>
      <c r="O352" s="27"/>
      <c r="P352" s="27"/>
      <c r="Q352" s="27"/>
      <c r="R352" s="27"/>
      <c r="S352" s="27"/>
      <c r="T352" s="27"/>
      <c r="U352" s="27"/>
      <c r="V352" s="28"/>
      <c r="W352" s="28"/>
      <c r="X352" s="28"/>
      <c r="Y352" s="28"/>
      <c r="Z352" s="28"/>
      <c r="AA352" s="28"/>
      <c r="AB352" s="28"/>
      <c r="AC352" s="28"/>
      <c r="AD352" s="28"/>
      <c r="AE352" s="28"/>
      <c r="AF352" s="28"/>
      <c r="AG352" s="28"/>
      <c r="AH352" s="28"/>
      <c r="AI352" s="28"/>
      <c r="AJ352" s="28"/>
      <c r="AK352" s="28"/>
      <c r="AL352" s="28"/>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row>
    <row r="353" spans="1:114" s="30" customFormat="1" ht="15.75" customHeight="1">
      <c r="A353" s="282" t="s">
        <v>88</v>
      </c>
      <c r="B353" s="283"/>
      <c r="C353" s="283"/>
      <c r="D353" s="283"/>
      <c r="E353" s="22"/>
      <c r="F353" s="23">
        <f>SUM(F351:F352)</f>
        <v>6619999</v>
      </c>
      <c r="G353" s="23"/>
      <c r="H353" s="23">
        <f>SUM(H351:H352)</f>
        <v>6705263</v>
      </c>
      <c r="I353" s="25"/>
      <c r="J353" s="26"/>
      <c r="K353" s="27"/>
      <c r="L353" s="27"/>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row>
    <row r="354" spans="1:38" s="29" customFormat="1" ht="15.75" customHeight="1">
      <c r="A354" s="123">
        <f>A352+1</f>
        <v>279</v>
      </c>
      <c r="B354" s="101">
        <f>B352+1</f>
        <v>5</v>
      </c>
      <c r="C354" s="102" t="s">
        <v>536</v>
      </c>
      <c r="D354" s="103" t="s">
        <v>963</v>
      </c>
      <c r="E354" s="102" t="s">
        <v>598</v>
      </c>
      <c r="F354" s="104"/>
      <c r="G354" s="105"/>
      <c r="H354" s="106">
        <v>74480000</v>
      </c>
      <c r="I354" s="107" t="s">
        <v>696</v>
      </c>
      <c r="J354" s="26"/>
      <c r="K354" s="43"/>
      <c r="L354" s="27"/>
      <c r="M354" s="27"/>
      <c r="N354" s="27"/>
      <c r="O354" s="27"/>
      <c r="P354" s="27"/>
      <c r="Q354" s="27"/>
      <c r="R354" s="27"/>
      <c r="S354" s="27"/>
      <c r="T354" s="27"/>
      <c r="U354" s="27"/>
      <c r="V354" s="28"/>
      <c r="W354" s="28"/>
      <c r="X354" s="28"/>
      <c r="Y354" s="28"/>
      <c r="Z354" s="28"/>
      <c r="AA354" s="28"/>
      <c r="AB354" s="28"/>
      <c r="AC354" s="28"/>
      <c r="AD354" s="28"/>
      <c r="AE354" s="28"/>
      <c r="AF354" s="28"/>
      <c r="AG354" s="28"/>
      <c r="AH354" s="28"/>
      <c r="AI354" s="28"/>
      <c r="AJ354" s="28"/>
      <c r="AK354" s="28"/>
      <c r="AL354" s="28"/>
    </row>
    <row r="355" spans="1:114" s="46" customFormat="1" ht="15.75" customHeight="1">
      <c r="A355" s="123">
        <f t="shared" si="29"/>
        <v>280</v>
      </c>
      <c r="B355" s="101">
        <f t="shared" si="29"/>
        <v>6</v>
      </c>
      <c r="C355" s="102" t="s">
        <v>540</v>
      </c>
      <c r="D355" s="103" t="s">
        <v>964</v>
      </c>
      <c r="E355" s="102" t="s">
        <v>309</v>
      </c>
      <c r="F355" s="104">
        <v>9680000</v>
      </c>
      <c r="G355" s="105"/>
      <c r="H355" s="106">
        <v>7800000</v>
      </c>
      <c r="I355" s="107" t="s">
        <v>696</v>
      </c>
      <c r="J355" s="26"/>
      <c r="K355" s="43"/>
      <c r="L355" s="27"/>
      <c r="M355" s="27"/>
      <c r="N355" s="27"/>
      <c r="O355" s="27"/>
      <c r="P355" s="27"/>
      <c r="Q355" s="27"/>
      <c r="R355" s="27"/>
      <c r="S355" s="27"/>
      <c r="T355" s="27"/>
      <c r="U355" s="27"/>
      <c r="V355" s="28"/>
      <c r="W355" s="28"/>
      <c r="X355" s="28"/>
      <c r="Y355" s="28"/>
      <c r="Z355" s="28"/>
      <c r="AA355" s="28"/>
      <c r="AB355" s="28"/>
      <c r="AC355" s="28"/>
      <c r="AD355" s="28"/>
      <c r="AE355" s="28"/>
      <c r="AF355" s="28"/>
      <c r="AG355" s="28"/>
      <c r="AH355" s="28"/>
      <c r="AI355" s="28"/>
      <c r="AJ355" s="28"/>
      <c r="AK355" s="28"/>
      <c r="AL355" s="28"/>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row>
    <row r="356" spans="1:114" s="57" customFormat="1" ht="15.75" customHeight="1">
      <c r="A356" s="123">
        <f t="shared" si="29"/>
        <v>281</v>
      </c>
      <c r="B356" s="101">
        <f t="shared" si="29"/>
        <v>7</v>
      </c>
      <c r="C356" s="102" t="s">
        <v>552</v>
      </c>
      <c r="D356" s="103" t="s">
        <v>965</v>
      </c>
      <c r="E356" s="102" t="s">
        <v>688</v>
      </c>
      <c r="F356" s="104"/>
      <c r="G356" s="105"/>
      <c r="H356" s="106">
        <v>157000000</v>
      </c>
      <c r="I356" s="107" t="s">
        <v>696</v>
      </c>
      <c r="J356" s="26"/>
      <c r="K356" s="43"/>
      <c r="L356" s="27"/>
      <c r="M356" s="27"/>
      <c r="N356" s="27"/>
      <c r="O356" s="27"/>
      <c r="P356" s="27"/>
      <c r="Q356" s="27"/>
      <c r="R356" s="27"/>
      <c r="S356" s="27"/>
      <c r="T356" s="27"/>
      <c r="U356" s="27"/>
      <c r="V356" s="28"/>
      <c r="W356" s="28"/>
      <c r="X356" s="28"/>
      <c r="Y356" s="28"/>
      <c r="Z356" s="28"/>
      <c r="AA356" s="28"/>
      <c r="AB356" s="28"/>
      <c r="AC356" s="28"/>
      <c r="AD356" s="28"/>
      <c r="AE356" s="28"/>
      <c r="AF356" s="28"/>
      <c r="AG356" s="28"/>
      <c r="AH356" s="28"/>
      <c r="AI356" s="28"/>
      <c r="AJ356" s="28"/>
      <c r="AK356" s="28"/>
      <c r="AL356" s="28"/>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row>
    <row r="357" spans="1:114" s="30" customFormat="1" ht="15.75" customHeight="1">
      <c r="A357" s="282" t="s">
        <v>1090</v>
      </c>
      <c r="B357" s="283"/>
      <c r="C357" s="283"/>
      <c r="D357" s="283"/>
      <c r="E357" s="22"/>
      <c r="F357" s="23">
        <f>SUM(F354:F356)</f>
        <v>9680000</v>
      </c>
      <c r="G357" s="23"/>
      <c r="H357" s="23">
        <f>SUM(H354:H356)</f>
        <v>239280000</v>
      </c>
      <c r="I357" s="25"/>
      <c r="J357" s="26"/>
      <c r="K357" s="27"/>
      <c r="L357" s="27"/>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row>
    <row r="358" spans="1:114" s="44" customFormat="1" ht="15.75" customHeight="1">
      <c r="A358" s="123">
        <f>A356+1</f>
        <v>282</v>
      </c>
      <c r="B358" s="101">
        <f>B356+1</f>
        <v>8</v>
      </c>
      <c r="C358" s="102" t="s">
        <v>410</v>
      </c>
      <c r="D358" s="103" t="s">
        <v>966</v>
      </c>
      <c r="E358" s="102" t="s">
        <v>411</v>
      </c>
      <c r="F358" s="104"/>
      <c r="G358" s="105"/>
      <c r="H358" s="106">
        <v>80000000</v>
      </c>
      <c r="I358" s="107" t="s">
        <v>696</v>
      </c>
      <c r="J358" s="26"/>
      <c r="K358" s="43"/>
      <c r="L358" s="27"/>
      <c r="M358" s="27"/>
      <c r="N358" s="27"/>
      <c r="O358" s="27"/>
      <c r="P358" s="27"/>
      <c r="Q358" s="27"/>
      <c r="R358" s="27"/>
      <c r="S358" s="27"/>
      <c r="T358" s="27"/>
      <c r="U358" s="27"/>
      <c r="V358" s="28"/>
      <c r="W358" s="28"/>
      <c r="X358" s="28"/>
      <c r="Y358" s="28"/>
      <c r="Z358" s="28"/>
      <c r="AA358" s="28"/>
      <c r="AB358" s="28"/>
      <c r="AC358" s="28"/>
      <c r="AD358" s="28"/>
      <c r="AE358" s="28"/>
      <c r="AF358" s="28"/>
      <c r="AG358" s="28"/>
      <c r="AH358" s="28"/>
      <c r="AI358" s="28"/>
      <c r="AJ358" s="28"/>
      <c r="AK358" s="28"/>
      <c r="AL358" s="28"/>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row>
    <row r="359" spans="1:114" s="44" customFormat="1" ht="15.75" customHeight="1">
      <c r="A359" s="123">
        <f t="shared" si="29"/>
        <v>283</v>
      </c>
      <c r="B359" s="101">
        <f t="shared" si="29"/>
        <v>9</v>
      </c>
      <c r="C359" s="102" t="s">
        <v>157</v>
      </c>
      <c r="D359" s="103" t="s">
        <v>967</v>
      </c>
      <c r="E359" s="102" t="s">
        <v>633</v>
      </c>
      <c r="F359" s="104">
        <v>180000000</v>
      </c>
      <c r="G359" s="105"/>
      <c r="H359" s="106"/>
      <c r="I359" s="107"/>
      <c r="J359" s="26"/>
      <c r="K359" s="43"/>
      <c r="L359" s="27"/>
      <c r="M359" s="27"/>
      <c r="N359" s="27"/>
      <c r="O359" s="27"/>
      <c r="P359" s="27"/>
      <c r="Q359" s="27"/>
      <c r="R359" s="27"/>
      <c r="S359" s="27"/>
      <c r="T359" s="27"/>
      <c r="U359" s="27"/>
      <c r="V359" s="28"/>
      <c r="W359" s="28"/>
      <c r="X359" s="28"/>
      <c r="Y359" s="28"/>
      <c r="Z359" s="28"/>
      <c r="AA359" s="28"/>
      <c r="AB359" s="28"/>
      <c r="AC359" s="28"/>
      <c r="AD359" s="28"/>
      <c r="AE359" s="28"/>
      <c r="AF359" s="28"/>
      <c r="AG359" s="28"/>
      <c r="AH359" s="28"/>
      <c r="AI359" s="28"/>
      <c r="AJ359" s="28"/>
      <c r="AK359" s="28"/>
      <c r="AL359" s="28"/>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row>
    <row r="360" spans="1:114" s="49" customFormat="1" ht="15.75" customHeight="1">
      <c r="A360" s="123">
        <f t="shared" si="29"/>
        <v>284</v>
      </c>
      <c r="B360" s="101">
        <f t="shared" si="29"/>
        <v>10</v>
      </c>
      <c r="C360" s="102" t="s">
        <v>481</v>
      </c>
      <c r="D360" s="103" t="s">
        <v>968</v>
      </c>
      <c r="E360" s="102" t="s">
        <v>633</v>
      </c>
      <c r="F360" s="104">
        <v>9850000</v>
      </c>
      <c r="G360" s="105"/>
      <c r="H360" s="106"/>
      <c r="I360" s="107"/>
      <c r="J360" s="26"/>
      <c r="K360" s="43"/>
      <c r="L360" s="27"/>
      <c r="M360" s="27"/>
      <c r="N360" s="27"/>
      <c r="O360" s="27"/>
      <c r="P360" s="27"/>
      <c r="Q360" s="27"/>
      <c r="R360" s="27"/>
      <c r="S360" s="27"/>
      <c r="T360" s="27"/>
      <c r="U360" s="27"/>
      <c r="V360" s="28"/>
      <c r="W360" s="28"/>
      <c r="X360" s="28"/>
      <c r="Y360" s="28"/>
      <c r="Z360" s="28"/>
      <c r="AA360" s="28"/>
      <c r="AB360" s="28"/>
      <c r="AC360" s="28"/>
      <c r="AD360" s="28"/>
      <c r="AE360" s="28"/>
      <c r="AF360" s="28"/>
      <c r="AG360" s="28"/>
      <c r="AH360" s="28"/>
      <c r="AI360" s="28"/>
      <c r="AJ360" s="28"/>
      <c r="AK360" s="28"/>
      <c r="AL360" s="28"/>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row>
    <row r="361" spans="1:114" s="49" customFormat="1" ht="15.75" customHeight="1">
      <c r="A361" s="123">
        <f t="shared" si="29"/>
        <v>285</v>
      </c>
      <c r="B361" s="101">
        <f t="shared" si="29"/>
        <v>11</v>
      </c>
      <c r="C361" s="102" t="s">
        <v>481</v>
      </c>
      <c r="D361" s="103" t="s">
        <v>969</v>
      </c>
      <c r="E361" s="102" t="s">
        <v>633</v>
      </c>
      <c r="F361" s="104">
        <v>9700700</v>
      </c>
      <c r="G361" s="105"/>
      <c r="H361" s="106"/>
      <c r="I361" s="107"/>
      <c r="J361" s="26"/>
      <c r="K361" s="43"/>
      <c r="L361" s="27"/>
      <c r="M361" s="27"/>
      <c r="N361" s="27"/>
      <c r="O361" s="27"/>
      <c r="P361" s="27"/>
      <c r="Q361" s="27"/>
      <c r="R361" s="27"/>
      <c r="S361" s="27"/>
      <c r="T361" s="27"/>
      <c r="U361" s="27"/>
      <c r="V361" s="28"/>
      <c r="W361" s="28"/>
      <c r="X361" s="28"/>
      <c r="Y361" s="28"/>
      <c r="Z361" s="28"/>
      <c r="AA361" s="28"/>
      <c r="AB361" s="28"/>
      <c r="AC361" s="28"/>
      <c r="AD361" s="28"/>
      <c r="AE361" s="28"/>
      <c r="AF361" s="28"/>
      <c r="AG361" s="28"/>
      <c r="AH361" s="28"/>
      <c r="AI361" s="28"/>
      <c r="AJ361" s="28"/>
      <c r="AK361" s="28"/>
      <c r="AL361" s="28"/>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row>
    <row r="362" spans="1:114" s="53" customFormat="1" ht="15.75" customHeight="1">
      <c r="A362" s="123">
        <f t="shared" si="29"/>
        <v>286</v>
      </c>
      <c r="B362" s="101">
        <f t="shared" si="29"/>
        <v>12</v>
      </c>
      <c r="C362" s="102" t="s">
        <v>429</v>
      </c>
      <c r="D362" s="103" t="s">
        <v>970</v>
      </c>
      <c r="E362" s="102" t="s">
        <v>594</v>
      </c>
      <c r="F362" s="104"/>
      <c r="G362" s="105"/>
      <c r="H362" s="106">
        <f>1449000000-349000000</f>
        <v>1100000000</v>
      </c>
      <c r="I362" s="107" t="s">
        <v>696</v>
      </c>
      <c r="J362" s="26"/>
      <c r="K362" s="43"/>
      <c r="L362" s="27"/>
      <c r="M362" s="27"/>
      <c r="N362" s="27"/>
      <c r="O362" s="27"/>
      <c r="P362" s="27"/>
      <c r="Q362" s="27"/>
      <c r="R362" s="27"/>
      <c r="S362" s="27"/>
      <c r="T362" s="27"/>
      <c r="U362" s="27"/>
      <c r="V362" s="28"/>
      <c r="W362" s="28"/>
      <c r="X362" s="28"/>
      <c r="Y362" s="28"/>
      <c r="Z362" s="28"/>
      <c r="AA362" s="28"/>
      <c r="AB362" s="28"/>
      <c r="AC362" s="28"/>
      <c r="AD362" s="28"/>
      <c r="AE362" s="28"/>
      <c r="AF362" s="28"/>
      <c r="AG362" s="28"/>
      <c r="AH362" s="28"/>
      <c r="AI362" s="28"/>
      <c r="AJ362" s="28"/>
      <c r="AK362" s="28"/>
      <c r="AL362" s="28"/>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row>
    <row r="363" spans="1:114" s="48" customFormat="1" ht="15.75" customHeight="1">
      <c r="A363" s="123">
        <f t="shared" si="29"/>
        <v>287</v>
      </c>
      <c r="B363" s="101">
        <f t="shared" si="29"/>
        <v>13</v>
      </c>
      <c r="C363" s="102" t="s">
        <v>354</v>
      </c>
      <c r="D363" s="103" t="s">
        <v>971</v>
      </c>
      <c r="E363" s="102" t="s">
        <v>688</v>
      </c>
      <c r="F363" s="104"/>
      <c r="G363" s="105"/>
      <c r="H363" s="106">
        <v>1214000000</v>
      </c>
      <c r="I363" s="107" t="s">
        <v>696</v>
      </c>
      <c r="J363" s="26"/>
      <c r="K363" s="43"/>
      <c r="L363" s="27"/>
      <c r="M363" s="27"/>
      <c r="N363" s="27"/>
      <c r="O363" s="27"/>
      <c r="P363" s="27"/>
      <c r="Q363" s="27"/>
      <c r="R363" s="27"/>
      <c r="S363" s="27"/>
      <c r="T363" s="27"/>
      <c r="U363" s="27"/>
      <c r="V363" s="28"/>
      <c r="W363" s="28"/>
      <c r="X363" s="28"/>
      <c r="Y363" s="28"/>
      <c r="Z363" s="28"/>
      <c r="AA363" s="28"/>
      <c r="AB363" s="28"/>
      <c r="AC363" s="28"/>
      <c r="AD363" s="28"/>
      <c r="AE363" s="28"/>
      <c r="AF363" s="28"/>
      <c r="AG363" s="28"/>
      <c r="AH363" s="28"/>
      <c r="AI363" s="28"/>
      <c r="AJ363" s="28"/>
      <c r="AK363" s="28"/>
      <c r="AL363" s="28"/>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row>
    <row r="364" spans="1:114" s="50" customFormat="1" ht="15.75" customHeight="1">
      <c r="A364" s="123">
        <f t="shared" si="29"/>
        <v>288</v>
      </c>
      <c r="B364" s="101">
        <f t="shared" si="29"/>
        <v>14</v>
      </c>
      <c r="C364" s="102" t="s">
        <v>161</v>
      </c>
      <c r="D364" s="103" t="s">
        <v>165</v>
      </c>
      <c r="E364" s="102" t="s">
        <v>633</v>
      </c>
      <c r="F364" s="104">
        <v>10301000</v>
      </c>
      <c r="G364" s="105"/>
      <c r="H364" s="106"/>
      <c r="I364" s="107"/>
      <c r="J364" s="26"/>
      <c r="K364" s="43"/>
      <c r="L364" s="27"/>
      <c r="M364" s="27"/>
      <c r="N364" s="27"/>
      <c r="O364" s="27"/>
      <c r="P364" s="27"/>
      <c r="Q364" s="27"/>
      <c r="R364" s="27"/>
      <c r="S364" s="27"/>
      <c r="T364" s="27"/>
      <c r="U364" s="27"/>
      <c r="V364" s="28"/>
      <c r="W364" s="28"/>
      <c r="X364" s="28"/>
      <c r="Y364" s="28"/>
      <c r="Z364" s="28"/>
      <c r="AA364" s="28"/>
      <c r="AB364" s="28"/>
      <c r="AC364" s="28"/>
      <c r="AD364" s="28"/>
      <c r="AE364" s="28"/>
      <c r="AF364" s="28"/>
      <c r="AG364" s="28"/>
      <c r="AH364" s="28"/>
      <c r="AI364" s="28"/>
      <c r="AJ364" s="28"/>
      <c r="AK364" s="28"/>
      <c r="AL364" s="28"/>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row>
    <row r="365" spans="1:114" s="30" customFormat="1" ht="15.75" customHeight="1">
      <c r="A365" s="282" t="s">
        <v>406</v>
      </c>
      <c r="B365" s="283"/>
      <c r="C365" s="283"/>
      <c r="D365" s="283"/>
      <c r="E365" s="22"/>
      <c r="F365" s="23">
        <f>SUM(F358:F364)</f>
        <v>209851700</v>
      </c>
      <c r="G365" s="23"/>
      <c r="H365" s="23">
        <f>SUM(H358:H364)</f>
        <v>2394000000</v>
      </c>
      <c r="I365" s="25"/>
      <c r="J365" s="26"/>
      <c r="K365" s="27"/>
      <c r="L365" s="27"/>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row>
    <row r="366" spans="1:114" s="50" customFormat="1" ht="25.5" customHeight="1">
      <c r="A366" s="123">
        <f>A364+1</f>
        <v>289</v>
      </c>
      <c r="B366" s="101">
        <f>B364+1</f>
        <v>15</v>
      </c>
      <c r="C366" s="102" t="s">
        <v>173</v>
      </c>
      <c r="D366" s="103" t="s">
        <v>174</v>
      </c>
      <c r="E366" s="102" t="s">
        <v>598</v>
      </c>
      <c r="F366" s="104"/>
      <c r="G366" s="105"/>
      <c r="H366" s="106">
        <v>65400000</v>
      </c>
      <c r="I366" s="107" t="s">
        <v>696</v>
      </c>
      <c r="J366" s="26"/>
      <c r="K366" s="43"/>
      <c r="L366" s="27"/>
      <c r="M366" s="27"/>
      <c r="N366" s="27"/>
      <c r="O366" s="27"/>
      <c r="P366" s="27"/>
      <c r="Q366" s="27"/>
      <c r="R366" s="27"/>
      <c r="S366" s="27"/>
      <c r="T366" s="27"/>
      <c r="U366" s="27"/>
      <c r="V366" s="28"/>
      <c r="W366" s="28"/>
      <c r="X366" s="28"/>
      <c r="Y366" s="28"/>
      <c r="Z366" s="28"/>
      <c r="AA366" s="28"/>
      <c r="AB366" s="28"/>
      <c r="AC366" s="28"/>
      <c r="AD366" s="28"/>
      <c r="AE366" s="28"/>
      <c r="AF366" s="28"/>
      <c r="AG366" s="28"/>
      <c r="AH366" s="28"/>
      <c r="AI366" s="28"/>
      <c r="AJ366" s="28"/>
      <c r="AK366" s="28"/>
      <c r="AL366" s="28"/>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row>
    <row r="367" spans="1:114" s="30" customFormat="1" ht="15.75" customHeight="1">
      <c r="A367" s="282" t="s">
        <v>1091</v>
      </c>
      <c r="B367" s="283"/>
      <c r="C367" s="283"/>
      <c r="D367" s="283"/>
      <c r="E367" s="22"/>
      <c r="F367" s="23"/>
      <c r="G367" s="23"/>
      <c r="H367" s="23">
        <f>H366</f>
        <v>65400000</v>
      </c>
      <c r="I367" s="25"/>
      <c r="J367" s="26"/>
      <c r="K367" s="27"/>
      <c r="L367" s="27"/>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row>
    <row r="368" spans="1:114" s="48" customFormat="1" ht="15.75" customHeight="1">
      <c r="A368" s="123">
        <f>A366+1</f>
        <v>290</v>
      </c>
      <c r="B368" s="101">
        <f>B366+1</f>
        <v>16</v>
      </c>
      <c r="C368" s="102" t="s">
        <v>221</v>
      </c>
      <c r="D368" s="103" t="s">
        <v>972</v>
      </c>
      <c r="E368" s="102" t="s">
        <v>688</v>
      </c>
      <c r="F368" s="104"/>
      <c r="G368" s="105"/>
      <c r="H368" s="106">
        <f>73070000/1.19</f>
        <v>61403361.34453782</v>
      </c>
      <c r="I368" s="107"/>
      <c r="J368" s="26"/>
      <c r="K368" s="43"/>
      <c r="L368" s="27"/>
      <c r="M368" s="27"/>
      <c r="N368" s="27"/>
      <c r="O368" s="27"/>
      <c r="P368" s="27"/>
      <c r="Q368" s="27"/>
      <c r="R368" s="27"/>
      <c r="S368" s="27"/>
      <c r="T368" s="27"/>
      <c r="U368" s="27"/>
      <c r="V368" s="28"/>
      <c r="W368" s="28"/>
      <c r="X368" s="28"/>
      <c r="Y368" s="28"/>
      <c r="Z368" s="28"/>
      <c r="AA368" s="28"/>
      <c r="AB368" s="28"/>
      <c r="AC368" s="28"/>
      <c r="AD368" s="28"/>
      <c r="AE368" s="28"/>
      <c r="AF368" s="28"/>
      <c r="AG368" s="28"/>
      <c r="AH368" s="28"/>
      <c r="AI368" s="28"/>
      <c r="AJ368" s="28"/>
      <c r="AK368" s="28"/>
      <c r="AL368" s="28"/>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row>
    <row r="369" spans="1:114" s="38" customFormat="1" ht="26.25" customHeight="1">
      <c r="A369" s="123">
        <f t="shared" si="29"/>
        <v>291</v>
      </c>
      <c r="B369" s="101">
        <f t="shared" si="29"/>
        <v>17</v>
      </c>
      <c r="C369" s="102" t="s">
        <v>222</v>
      </c>
      <c r="D369" s="103" t="s">
        <v>973</v>
      </c>
      <c r="E369" s="102" t="s">
        <v>598</v>
      </c>
      <c r="F369" s="104">
        <f>241576000+270516.1+13255288.76+75433.86+3696259.36</f>
        <v>258873498.08</v>
      </c>
      <c r="G369" s="105"/>
      <c r="H369" s="106">
        <v>10500000</v>
      </c>
      <c r="I369" s="107"/>
      <c r="J369" s="26"/>
      <c r="K369" s="43"/>
      <c r="L369" s="27"/>
      <c r="M369" s="27"/>
      <c r="N369" s="27"/>
      <c r="O369" s="27"/>
      <c r="P369" s="27"/>
      <c r="Q369" s="27"/>
      <c r="R369" s="27"/>
      <c r="S369" s="27"/>
      <c r="T369" s="27"/>
      <c r="U369" s="27"/>
      <c r="V369" s="28"/>
      <c r="W369" s="28"/>
      <c r="X369" s="28"/>
      <c r="Y369" s="28"/>
      <c r="Z369" s="28"/>
      <c r="AA369" s="28"/>
      <c r="AB369" s="28"/>
      <c r="AC369" s="28"/>
      <c r="AD369" s="28"/>
      <c r="AE369" s="28"/>
      <c r="AF369" s="28"/>
      <c r="AG369" s="28"/>
      <c r="AH369" s="28"/>
      <c r="AI369" s="28"/>
      <c r="AJ369" s="28"/>
      <c r="AK369" s="28"/>
      <c r="AL369" s="28"/>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row>
    <row r="370" spans="1:114" s="48" customFormat="1" ht="15.75" customHeight="1">
      <c r="A370" s="123">
        <f t="shared" si="29"/>
        <v>292</v>
      </c>
      <c r="B370" s="101">
        <f t="shared" si="29"/>
        <v>18</v>
      </c>
      <c r="C370" s="102" t="s">
        <v>223</v>
      </c>
      <c r="D370" s="103" t="s">
        <v>974</v>
      </c>
      <c r="E370" s="102" t="s">
        <v>45</v>
      </c>
      <c r="F370" s="104"/>
      <c r="G370" s="105"/>
      <c r="H370" s="106">
        <f>(188+840+806+958+740+230+600+230+650)*1000</f>
        <v>5242000</v>
      </c>
      <c r="I370" s="107"/>
      <c r="J370" s="26"/>
      <c r="K370" s="43"/>
      <c r="L370" s="27"/>
      <c r="M370" s="27"/>
      <c r="N370" s="27"/>
      <c r="O370" s="27"/>
      <c r="P370" s="27"/>
      <c r="Q370" s="27"/>
      <c r="R370" s="27"/>
      <c r="S370" s="27"/>
      <c r="T370" s="27"/>
      <c r="U370" s="27"/>
      <c r="V370" s="28"/>
      <c r="W370" s="28"/>
      <c r="X370" s="28"/>
      <c r="Y370" s="28"/>
      <c r="Z370" s="28"/>
      <c r="AA370" s="28"/>
      <c r="AB370" s="28"/>
      <c r="AC370" s="28"/>
      <c r="AD370" s="28"/>
      <c r="AE370" s="28"/>
      <c r="AF370" s="28"/>
      <c r="AG370" s="28"/>
      <c r="AH370" s="28"/>
      <c r="AI370" s="28"/>
      <c r="AJ370" s="28"/>
      <c r="AK370" s="28"/>
      <c r="AL370" s="28"/>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row>
    <row r="371" spans="1:114" s="30" customFormat="1" ht="15.75" customHeight="1">
      <c r="A371" s="282" t="s">
        <v>209</v>
      </c>
      <c r="B371" s="283"/>
      <c r="C371" s="283"/>
      <c r="D371" s="283"/>
      <c r="E371" s="22"/>
      <c r="F371" s="23">
        <f>SUM(F368:F370)</f>
        <v>258873498.08</v>
      </c>
      <c r="G371" s="23"/>
      <c r="H371" s="23">
        <f>SUM(H368:H370)</f>
        <v>77145361.34453782</v>
      </c>
      <c r="I371" s="25"/>
      <c r="J371" s="26"/>
      <c r="K371" s="27"/>
      <c r="L371" s="27"/>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row>
    <row r="372" spans="1:114" s="38" customFormat="1" ht="15.75" customHeight="1">
      <c r="A372" s="123">
        <f>A370+1</f>
        <v>293</v>
      </c>
      <c r="B372" s="101">
        <f>B370+1</f>
        <v>19</v>
      </c>
      <c r="C372" s="102" t="s">
        <v>318</v>
      </c>
      <c r="D372" s="103" t="s">
        <v>975</v>
      </c>
      <c r="E372" s="102" t="s">
        <v>3</v>
      </c>
      <c r="F372" s="104"/>
      <c r="G372" s="105"/>
      <c r="H372" s="106">
        <v>184800000</v>
      </c>
      <c r="I372" s="107"/>
      <c r="J372" s="26"/>
      <c r="K372" s="43"/>
      <c r="L372" s="27"/>
      <c r="M372" s="27"/>
      <c r="N372" s="27"/>
      <c r="O372" s="27"/>
      <c r="P372" s="27"/>
      <c r="Q372" s="27"/>
      <c r="R372" s="27"/>
      <c r="S372" s="27"/>
      <c r="T372" s="27"/>
      <c r="U372" s="27"/>
      <c r="V372" s="28"/>
      <c r="W372" s="28"/>
      <c r="X372" s="28"/>
      <c r="Y372" s="28"/>
      <c r="Z372" s="28"/>
      <c r="AA372" s="28"/>
      <c r="AB372" s="28"/>
      <c r="AC372" s="28"/>
      <c r="AD372" s="28"/>
      <c r="AE372" s="28"/>
      <c r="AF372" s="28"/>
      <c r="AG372" s="28"/>
      <c r="AH372" s="28"/>
      <c r="AI372" s="28"/>
      <c r="AJ372" s="28"/>
      <c r="AK372" s="28"/>
      <c r="AL372" s="28"/>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row>
    <row r="373" spans="1:114" s="30" customFormat="1" ht="15.75" customHeight="1">
      <c r="A373" s="282" t="s">
        <v>1092</v>
      </c>
      <c r="B373" s="283"/>
      <c r="C373" s="283"/>
      <c r="D373" s="283"/>
      <c r="E373" s="22"/>
      <c r="F373" s="23"/>
      <c r="G373" s="23"/>
      <c r="H373" s="23">
        <f>H372</f>
        <v>184800000</v>
      </c>
      <c r="I373" s="25"/>
      <c r="J373" s="26"/>
      <c r="K373" s="27"/>
      <c r="L373" s="27"/>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row>
    <row r="374" spans="1:114" s="38" customFormat="1" ht="15.75" customHeight="1">
      <c r="A374" s="123">
        <f>A372+1</f>
        <v>294</v>
      </c>
      <c r="B374" s="101">
        <f>B372+1</f>
        <v>20</v>
      </c>
      <c r="C374" s="102" t="s">
        <v>291</v>
      </c>
      <c r="D374" s="103" t="s">
        <v>566</v>
      </c>
      <c r="E374" s="102" t="s">
        <v>633</v>
      </c>
      <c r="F374" s="104">
        <v>21100000</v>
      </c>
      <c r="G374" s="105"/>
      <c r="H374" s="106">
        <v>11250000</v>
      </c>
      <c r="I374" s="107"/>
      <c r="J374" s="26"/>
      <c r="K374" s="43"/>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row>
    <row r="375" spans="1:114" s="38" customFormat="1" ht="15.75" customHeight="1">
      <c r="A375" s="123">
        <f t="shared" si="29"/>
        <v>295</v>
      </c>
      <c r="B375" s="101">
        <f t="shared" si="29"/>
        <v>21</v>
      </c>
      <c r="C375" s="102" t="s">
        <v>59</v>
      </c>
      <c r="D375" s="103" t="s">
        <v>57</v>
      </c>
      <c r="E375" s="102" t="s">
        <v>688</v>
      </c>
      <c r="F375" s="104"/>
      <c r="G375" s="105"/>
      <c r="H375" s="106">
        <f>218830000/1.19</f>
        <v>183890756.30252102</v>
      </c>
      <c r="I375" s="107"/>
      <c r="J375" s="26"/>
      <c r="K375" s="43"/>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row>
    <row r="376" spans="1:114" s="38" customFormat="1" ht="15.75" customHeight="1">
      <c r="A376" s="123">
        <f t="shared" si="29"/>
        <v>296</v>
      </c>
      <c r="B376" s="101">
        <f t="shared" si="29"/>
        <v>22</v>
      </c>
      <c r="C376" s="102" t="s">
        <v>60</v>
      </c>
      <c r="D376" s="103" t="s">
        <v>58</v>
      </c>
      <c r="E376" s="102" t="s">
        <v>688</v>
      </c>
      <c r="F376" s="104"/>
      <c r="G376" s="105"/>
      <c r="H376" s="106">
        <f>810073000/1.19</f>
        <v>680733613.4453782</v>
      </c>
      <c r="I376" s="107"/>
      <c r="J376" s="26"/>
      <c r="K376" s="43"/>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row>
    <row r="377" spans="1:114" s="38" customFormat="1" ht="27" customHeight="1">
      <c r="A377" s="123">
        <f t="shared" si="29"/>
        <v>297</v>
      </c>
      <c r="B377" s="101">
        <f t="shared" si="29"/>
        <v>23</v>
      </c>
      <c r="C377" s="102" t="s">
        <v>606</v>
      </c>
      <c r="D377" s="103" t="s">
        <v>976</v>
      </c>
      <c r="E377" s="102" t="s">
        <v>688</v>
      </c>
      <c r="F377" s="104"/>
      <c r="G377" s="105"/>
      <c r="H377" s="106">
        <f>228590000/1.19</f>
        <v>192092436.97478992</v>
      </c>
      <c r="I377" s="107"/>
      <c r="J377" s="26"/>
      <c r="K377" s="43"/>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row>
    <row r="378" spans="1:114" s="38" customFormat="1" ht="15.75" customHeight="1">
      <c r="A378" s="123">
        <f t="shared" si="29"/>
        <v>298</v>
      </c>
      <c r="B378" s="101">
        <f t="shared" si="29"/>
        <v>24</v>
      </c>
      <c r="C378" s="102" t="s">
        <v>607</v>
      </c>
      <c r="D378" s="103" t="s">
        <v>977</v>
      </c>
      <c r="E378" s="102" t="s">
        <v>411</v>
      </c>
      <c r="F378" s="104"/>
      <c r="G378" s="105"/>
      <c r="H378" s="106">
        <v>73000000</v>
      </c>
      <c r="I378" s="107"/>
      <c r="J378" s="26"/>
      <c r="K378" s="43"/>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row>
    <row r="379" spans="1:114" s="30" customFormat="1" ht="15.75" customHeight="1">
      <c r="A379" s="282" t="s">
        <v>293</v>
      </c>
      <c r="B379" s="283"/>
      <c r="C379" s="283"/>
      <c r="D379" s="283"/>
      <c r="E379" s="22"/>
      <c r="F379" s="23">
        <f>SUM(F374:F378)</f>
        <v>21100000</v>
      </c>
      <c r="G379" s="23"/>
      <c r="H379" s="23">
        <f>SUM(H374:H378)</f>
        <v>1140966806.7226892</v>
      </c>
      <c r="I379" s="25"/>
      <c r="J379" s="26"/>
      <c r="K379" s="27"/>
      <c r="L379" s="27"/>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row>
    <row r="380" spans="1:114" s="30" customFormat="1" ht="21" customHeight="1">
      <c r="A380" s="175">
        <f>A378+1</f>
        <v>299</v>
      </c>
      <c r="B380" s="176">
        <f>B378+1</f>
        <v>25</v>
      </c>
      <c r="C380" s="177" t="s">
        <v>343</v>
      </c>
      <c r="D380" s="178" t="s">
        <v>978</v>
      </c>
      <c r="E380" s="177" t="s">
        <v>633</v>
      </c>
      <c r="F380" s="179"/>
      <c r="G380" s="180"/>
      <c r="H380" s="79">
        <v>4950000</v>
      </c>
      <c r="I380" s="81" t="s">
        <v>805</v>
      </c>
      <c r="J380" s="68"/>
      <c r="K380" s="69"/>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row>
    <row r="381" spans="1:114" s="38" customFormat="1" ht="24.75" customHeight="1">
      <c r="A381" s="75">
        <f aca="true" t="shared" si="30" ref="A381:A415">A380+1</f>
        <v>300</v>
      </c>
      <c r="B381" s="76">
        <f aca="true" t="shared" si="31" ref="B381:B415">B380+1</f>
        <v>26</v>
      </c>
      <c r="C381" s="102" t="s">
        <v>344</v>
      </c>
      <c r="D381" s="103" t="s">
        <v>979</v>
      </c>
      <c r="E381" s="102" t="s">
        <v>309</v>
      </c>
      <c r="F381" s="104"/>
      <c r="G381" s="105"/>
      <c r="H381" s="106">
        <v>617000000</v>
      </c>
      <c r="I381" s="107"/>
      <c r="J381" s="26"/>
      <c r="K381" s="43"/>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row>
    <row r="382" spans="1:114" s="38" customFormat="1" ht="15.75" customHeight="1">
      <c r="A382" s="75">
        <f t="shared" si="30"/>
        <v>301</v>
      </c>
      <c r="B382" s="76">
        <f t="shared" si="31"/>
        <v>27</v>
      </c>
      <c r="C382" s="102" t="s">
        <v>197</v>
      </c>
      <c r="D382" s="103" t="s">
        <v>809</v>
      </c>
      <c r="E382" s="102" t="s">
        <v>688</v>
      </c>
      <c r="F382" s="104"/>
      <c r="G382" s="105"/>
      <c r="H382" s="106">
        <v>95994894</v>
      </c>
      <c r="I382" s="107"/>
      <c r="J382" s="26"/>
      <c r="K382" s="43"/>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row>
    <row r="383" spans="1:114" s="38" customFormat="1" ht="15.75" customHeight="1">
      <c r="A383" s="75">
        <f t="shared" si="30"/>
        <v>302</v>
      </c>
      <c r="B383" s="76">
        <f t="shared" si="31"/>
        <v>28</v>
      </c>
      <c r="C383" s="102" t="s">
        <v>83</v>
      </c>
      <c r="D383" s="103" t="s">
        <v>84</v>
      </c>
      <c r="E383" s="102" t="s">
        <v>688</v>
      </c>
      <c r="F383" s="104"/>
      <c r="G383" s="105"/>
      <c r="H383" s="106">
        <f>31131833.31/1.19</f>
        <v>26161204.462184872</v>
      </c>
      <c r="I383" s="107"/>
      <c r="J383" s="26"/>
      <c r="K383" s="43"/>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row>
    <row r="384" spans="1:114" s="30" customFormat="1" ht="15.75" customHeight="1">
      <c r="A384" s="282" t="s">
        <v>585</v>
      </c>
      <c r="B384" s="283"/>
      <c r="C384" s="283"/>
      <c r="D384" s="283"/>
      <c r="E384" s="22"/>
      <c r="F384" s="23"/>
      <c r="G384" s="23"/>
      <c r="H384" s="23">
        <f>SUM(H380:H383)</f>
        <v>744106098.4621849</v>
      </c>
      <c r="I384" s="25"/>
      <c r="J384" s="26"/>
      <c r="K384" s="27"/>
      <c r="L384" s="27"/>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row>
    <row r="385" spans="1:114" s="38" customFormat="1" ht="15.75" customHeight="1">
      <c r="A385" s="75">
        <f>A383+1</f>
        <v>303</v>
      </c>
      <c r="B385" s="76">
        <f>B383+1</f>
        <v>29</v>
      </c>
      <c r="C385" s="102" t="s">
        <v>524</v>
      </c>
      <c r="D385" s="103" t="s">
        <v>526</v>
      </c>
      <c r="E385" s="102" t="s">
        <v>633</v>
      </c>
      <c r="F385" s="104">
        <v>22220000</v>
      </c>
      <c r="G385" s="105"/>
      <c r="H385" s="106"/>
      <c r="I385" s="107"/>
      <c r="J385" s="26"/>
      <c r="K385" s="43"/>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row>
    <row r="386" spans="1:114" s="38" customFormat="1" ht="15.75" customHeight="1">
      <c r="A386" s="75">
        <f t="shared" si="30"/>
        <v>304</v>
      </c>
      <c r="B386" s="76">
        <f t="shared" si="31"/>
        <v>30</v>
      </c>
      <c r="C386" s="102" t="s">
        <v>524</v>
      </c>
      <c r="D386" s="103" t="s">
        <v>525</v>
      </c>
      <c r="E386" s="102" t="s">
        <v>633</v>
      </c>
      <c r="F386" s="104">
        <v>27000000</v>
      </c>
      <c r="G386" s="105"/>
      <c r="H386" s="106"/>
      <c r="I386" s="107"/>
      <c r="J386" s="26"/>
      <c r="K386" s="43"/>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row>
    <row r="387" spans="1:114" s="38" customFormat="1" ht="15.75" customHeight="1">
      <c r="A387" s="75">
        <f t="shared" si="30"/>
        <v>305</v>
      </c>
      <c r="B387" s="76">
        <f t="shared" si="31"/>
        <v>31</v>
      </c>
      <c r="C387" s="102" t="s">
        <v>275</v>
      </c>
      <c r="D387" s="103" t="s">
        <v>191</v>
      </c>
      <c r="E387" s="102" t="s">
        <v>688</v>
      </c>
      <c r="F387" s="104"/>
      <c r="G387" s="105"/>
      <c r="H387" s="106">
        <f>282265114/1.19</f>
        <v>237197574.78991598</v>
      </c>
      <c r="I387" s="107"/>
      <c r="J387" s="26"/>
      <c r="K387" s="43"/>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row>
    <row r="388" spans="1:114" s="38" customFormat="1" ht="24" customHeight="1">
      <c r="A388" s="75">
        <f t="shared" si="30"/>
        <v>306</v>
      </c>
      <c r="B388" s="76">
        <f t="shared" si="31"/>
        <v>32</v>
      </c>
      <c r="C388" s="102" t="s">
        <v>349</v>
      </c>
      <c r="D388" s="103" t="s">
        <v>350</v>
      </c>
      <c r="E388" s="102" t="s">
        <v>633</v>
      </c>
      <c r="F388" s="104"/>
      <c r="G388" s="105"/>
      <c r="H388" s="106">
        <v>45000000</v>
      </c>
      <c r="I388" s="107"/>
      <c r="J388" s="26"/>
      <c r="K388" s="43"/>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row>
    <row r="389" spans="1:114" s="30" customFormat="1" ht="15.75" customHeight="1">
      <c r="A389" s="282" t="s">
        <v>586</v>
      </c>
      <c r="B389" s="283"/>
      <c r="C389" s="283"/>
      <c r="D389" s="283"/>
      <c r="E389" s="22"/>
      <c r="F389" s="23">
        <f>SUM(F385:F388)</f>
        <v>49220000</v>
      </c>
      <c r="G389" s="23"/>
      <c r="H389" s="23">
        <f>SUM(H385:H388)</f>
        <v>282197574.789916</v>
      </c>
      <c r="I389" s="23"/>
      <c r="J389" s="26"/>
      <c r="K389" s="27"/>
      <c r="L389" s="27"/>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row>
    <row r="390" spans="1:114" s="38" customFormat="1" ht="21.75" customHeight="1">
      <c r="A390" s="75">
        <f>A388+1</f>
        <v>307</v>
      </c>
      <c r="B390" s="76">
        <f>B388+1</f>
        <v>33</v>
      </c>
      <c r="C390" s="102" t="s">
        <v>194</v>
      </c>
      <c r="D390" s="103" t="s">
        <v>195</v>
      </c>
      <c r="E390" s="102" t="s">
        <v>633</v>
      </c>
      <c r="F390" s="104"/>
      <c r="G390" s="105"/>
      <c r="H390" s="106">
        <v>8700000</v>
      </c>
      <c r="I390" s="107"/>
      <c r="J390" s="26"/>
      <c r="K390" s="43"/>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row>
    <row r="391" spans="1:114" s="38" customFormat="1" ht="34.5" customHeight="1">
      <c r="A391" s="75">
        <f t="shared" si="30"/>
        <v>308</v>
      </c>
      <c r="B391" s="76">
        <f t="shared" si="31"/>
        <v>34</v>
      </c>
      <c r="C391" s="102" t="s">
        <v>415</v>
      </c>
      <c r="D391" s="181" t="s">
        <v>418</v>
      </c>
      <c r="E391" s="102" t="s">
        <v>598</v>
      </c>
      <c r="F391" s="104"/>
      <c r="G391" s="105"/>
      <c r="H391" s="106">
        <v>106140662</v>
      </c>
      <c r="I391" s="107"/>
      <c r="J391" s="26"/>
      <c r="K391" s="43"/>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row>
    <row r="392" spans="1:114" s="38" customFormat="1" ht="15.75" customHeight="1">
      <c r="A392" s="75">
        <f t="shared" si="30"/>
        <v>309</v>
      </c>
      <c r="B392" s="76">
        <f t="shared" si="31"/>
        <v>35</v>
      </c>
      <c r="C392" s="102" t="s">
        <v>568</v>
      </c>
      <c r="D392" s="103" t="s">
        <v>569</v>
      </c>
      <c r="E392" s="102" t="s">
        <v>594</v>
      </c>
      <c r="F392" s="104"/>
      <c r="G392" s="105"/>
      <c r="H392" s="106">
        <v>60000000</v>
      </c>
      <c r="I392" s="107"/>
      <c r="J392" s="26"/>
      <c r="K392" s="43"/>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row>
    <row r="393" spans="1:114" s="38" customFormat="1" ht="27.75" customHeight="1">
      <c r="A393" s="75">
        <f t="shared" si="30"/>
        <v>310</v>
      </c>
      <c r="B393" s="76">
        <f t="shared" si="31"/>
        <v>36</v>
      </c>
      <c r="C393" s="102" t="s">
        <v>570</v>
      </c>
      <c r="D393" s="181" t="s">
        <v>571</v>
      </c>
      <c r="E393" s="102" t="s">
        <v>598</v>
      </c>
      <c r="F393" s="104"/>
      <c r="G393" s="105"/>
      <c r="H393" s="106">
        <v>181011605</v>
      </c>
      <c r="I393" s="107"/>
      <c r="J393" s="26"/>
      <c r="K393" s="43"/>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row>
    <row r="394" spans="1:114" s="38" customFormat="1" ht="15.75" customHeight="1">
      <c r="A394" s="75">
        <f t="shared" si="30"/>
        <v>311</v>
      </c>
      <c r="B394" s="76">
        <f t="shared" si="31"/>
        <v>37</v>
      </c>
      <c r="C394" s="102" t="s">
        <v>384</v>
      </c>
      <c r="D394" s="103" t="s">
        <v>383</v>
      </c>
      <c r="E394" s="102" t="s">
        <v>598</v>
      </c>
      <c r="F394" s="104"/>
      <c r="G394" s="105"/>
      <c r="H394" s="106">
        <v>52233900</v>
      </c>
      <c r="I394" s="107"/>
      <c r="J394" s="26"/>
      <c r="K394" s="43"/>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row>
    <row r="395" spans="1:114" s="38" customFormat="1" ht="22.5" customHeight="1">
      <c r="A395" s="75">
        <f t="shared" si="30"/>
        <v>312</v>
      </c>
      <c r="B395" s="76">
        <f t="shared" si="31"/>
        <v>38</v>
      </c>
      <c r="C395" s="102" t="s">
        <v>423</v>
      </c>
      <c r="D395" s="103" t="s">
        <v>424</v>
      </c>
      <c r="E395" s="102" t="s">
        <v>411</v>
      </c>
      <c r="F395" s="104"/>
      <c r="G395" s="105"/>
      <c r="H395" s="106">
        <v>76900000</v>
      </c>
      <c r="I395" s="107"/>
      <c r="J395" s="26"/>
      <c r="K395" s="43"/>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row>
    <row r="396" spans="1:114" s="38" customFormat="1" ht="21.75" customHeight="1">
      <c r="A396" s="75">
        <f t="shared" si="30"/>
        <v>313</v>
      </c>
      <c r="B396" s="76">
        <f t="shared" si="31"/>
        <v>39</v>
      </c>
      <c r="C396" s="102" t="s">
        <v>364</v>
      </c>
      <c r="D396" s="181" t="s">
        <v>365</v>
      </c>
      <c r="E396" s="102" t="s">
        <v>688</v>
      </c>
      <c r="F396" s="104"/>
      <c r="G396" s="105"/>
      <c r="H396" s="106">
        <f>34248729.51/1.19</f>
        <v>28780444.966386553</v>
      </c>
      <c r="I396" s="107"/>
      <c r="J396" s="26"/>
      <c r="K396" s="43"/>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row>
    <row r="397" spans="1:114" s="38" customFormat="1" ht="15.75" customHeight="1">
      <c r="A397" s="75">
        <f t="shared" si="30"/>
        <v>314</v>
      </c>
      <c r="B397" s="76">
        <f t="shared" si="31"/>
        <v>40</v>
      </c>
      <c r="C397" s="102" t="s">
        <v>136</v>
      </c>
      <c r="D397" s="103" t="s">
        <v>137</v>
      </c>
      <c r="E397" s="102" t="s">
        <v>688</v>
      </c>
      <c r="F397" s="104"/>
      <c r="G397" s="105"/>
      <c r="H397" s="106">
        <f>370000000/1.19</f>
        <v>310924369.7478992</v>
      </c>
      <c r="I397" s="107"/>
      <c r="J397" s="26"/>
      <c r="K397" s="43"/>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row>
    <row r="398" spans="1:114" s="30" customFormat="1" ht="15.75" customHeight="1">
      <c r="A398" s="282" t="s">
        <v>327</v>
      </c>
      <c r="B398" s="283"/>
      <c r="C398" s="283"/>
      <c r="D398" s="283"/>
      <c r="E398" s="22"/>
      <c r="F398" s="23"/>
      <c r="G398" s="23"/>
      <c r="H398" s="23">
        <f>SUM(H390:H397)</f>
        <v>824690981.7142857</v>
      </c>
      <c r="I398" s="23"/>
      <c r="J398" s="26"/>
      <c r="K398" s="27"/>
      <c r="L398" s="27"/>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row>
    <row r="399" spans="1:114" s="38" customFormat="1" ht="15.75" customHeight="1">
      <c r="A399" s="75">
        <f>A397+1</f>
        <v>315</v>
      </c>
      <c r="B399" s="76">
        <f>B397+1</f>
        <v>41</v>
      </c>
      <c r="C399" s="102" t="s">
        <v>139</v>
      </c>
      <c r="D399" s="103" t="s">
        <v>138</v>
      </c>
      <c r="E399" s="102" t="s">
        <v>688</v>
      </c>
      <c r="F399" s="104"/>
      <c r="G399" s="105"/>
      <c r="H399" s="106">
        <f>17385541.43/1.19</f>
        <v>14609698.68067227</v>
      </c>
      <c r="I399" s="107"/>
      <c r="J399" s="26"/>
      <c r="K399" s="43"/>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row>
    <row r="400" spans="1:114" s="38" customFormat="1" ht="15.75" customHeight="1">
      <c r="A400" s="75">
        <f t="shared" si="30"/>
        <v>316</v>
      </c>
      <c r="B400" s="76">
        <f t="shared" si="31"/>
        <v>42</v>
      </c>
      <c r="C400" s="102" t="s">
        <v>140</v>
      </c>
      <c r="D400" s="103" t="s">
        <v>1031</v>
      </c>
      <c r="E400" s="102" t="s">
        <v>411</v>
      </c>
      <c r="F400" s="104"/>
      <c r="G400" s="105"/>
      <c r="H400" s="106">
        <f>873127822/3.2465</f>
        <v>268944346.83505315</v>
      </c>
      <c r="I400" s="107"/>
      <c r="J400" s="26"/>
      <c r="K400" s="43"/>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row>
    <row r="401" spans="1:114" s="38" customFormat="1" ht="15.75" customHeight="1">
      <c r="A401" s="75">
        <f t="shared" si="30"/>
        <v>317</v>
      </c>
      <c r="B401" s="76">
        <f t="shared" si="31"/>
        <v>43</v>
      </c>
      <c r="C401" s="102" t="s">
        <v>307</v>
      </c>
      <c r="D401" s="103" t="s">
        <v>308</v>
      </c>
      <c r="E401" s="102" t="s">
        <v>309</v>
      </c>
      <c r="F401" s="104"/>
      <c r="G401" s="105"/>
      <c r="H401" s="106">
        <f>131000000+100800000</f>
        <v>231800000</v>
      </c>
      <c r="I401" s="107"/>
      <c r="J401" s="26"/>
      <c r="K401" s="43"/>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row>
    <row r="402" spans="1:114" s="38" customFormat="1" ht="15.75" customHeight="1">
      <c r="A402" s="75">
        <f t="shared" si="30"/>
        <v>318</v>
      </c>
      <c r="B402" s="76">
        <f t="shared" si="31"/>
        <v>44</v>
      </c>
      <c r="C402" s="102" t="s">
        <v>229</v>
      </c>
      <c r="D402" s="103" t="s">
        <v>230</v>
      </c>
      <c r="E402" s="102" t="s">
        <v>633</v>
      </c>
      <c r="F402" s="104">
        <v>4700000</v>
      </c>
      <c r="G402" s="105"/>
      <c r="H402" s="106">
        <v>50000000</v>
      </c>
      <c r="I402" s="107"/>
      <c r="J402" s="26"/>
      <c r="K402" s="43"/>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row>
    <row r="403" spans="1:114" s="38" customFormat="1" ht="15.75" customHeight="1">
      <c r="A403" s="75">
        <f t="shared" si="30"/>
        <v>319</v>
      </c>
      <c r="B403" s="76">
        <f t="shared" si="31"/>
        <v>45</v>
      </c>
      <c r="C403" s="102" t="s">
        <v>572</v>
      </c>
      <c r="D403" s="103" t="s">
        <v>573</v>
      </c>
      <c r="E403" s="102" t="s">
        <v>688</v>
      </c>
      <c r="F403" s="104"/>
      <c r="G403" s="105"/>
      <c r="H403" s="106">
        <f>365120000/1.19</f>
        <v>306823529.41176474</v>
      </c>
      <c r="I403" s="107"/>
      <c r="J403" s="26"/>
      <c r="K403" s="43"/>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row>
    <row r="404" spans="1:114" s="38" customFormat="1" ht="24" customHeight="1">
      <c r="A404" s="75">
        <f t="shared" si="30"/>
        <v>320</v>
      </c>
      <c r="B404" s="76">
        <f t="shared" si="31"/>
        <v>46</v>
      </c>
      <c r="C404" s="102" t="s">
        <v>611</v>
      </c>
      <c r="D404" s="103" t="s">
        <v>980</v>
      </c>
      <c r="E404" s="102" t="s">
        <v>633</v>
      </c>
      <c r="F404" s="104">
        <v>3900001</v>
      </c>
      <c r="G404" s="105"/>
      <c r="H404" s="106">
        <v>74900000</v>
      </c>
      <c r="I404" s="107"/>
      <c r="J404" s="26"/>
      <c r="K404" s="43"/>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row>
    <row r="405" spans="1:114" s="38" customFormat="1" ht="15.75" customHeight="1">
      <c r="A405" s="75">
        <f t="shared" si="30"/>
        <v>321</v>
      </c>
      <c r="B405" s="76">
        <f t="shared" si="31"/>
        <v>47</v>
      </c>
      <c r="C405" s="102" t="s">
        <v>244</v>
      </c>
      <c r="D405" s="103" t="s">
        <v>245</v>
      </c>
      <c r="E405" s="102" t="s">
        <v>598</v>
      </c>
      <c r="F405" s="104"/>
      <c r="G405" s="105"/>
      <c r="H405" s="106">
        <v>300000000</v>
      </c>
      <c r="I405" s="107"/>
      <c r="J405" s="26"/>
      <c r="K405" s="43"/>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row>
    <row r="406" spans="1:114" s="38" customFormat="1" ht="15.75" customHeight="1">
      <c r="A406" s="75">
        <f t="shared" si="30"/>
        <v>322</v>
      </c>
      <c r="B406" s="76">
        <f t="shared" si="31"/>
        <v>48</v>
      </c>
      <c r="C406" s="102" t="s">
        <v>246</v>
      </c>
      <c r="D406" s="103" t="s">
        <v>658</v>
      </c>
      <c r="E406" s="102" t="s">
        <v>598</v>
      </c>
      <c r="F406" s="104"/>
      <c r="G406" s="105"/>
      <c r="H406" s="106">
        <v>167500000</v>
      </c>
      <c r="I406" s="107"/>
      <c r="J406" s="26"/>
      <c r="K406" s="43"/>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row>
    <row r="407" spans="1:114" s="30" customFormat="1" ht="15.75" customHeight="1">
      <c r="A407" s="282" t="s">
        <v>754</v>
      </c>
      <c r="B407" s="283"/>
      <c r="C407" s="283"/>
      <c r="D407" s="283"/>
      <c r="E407" s="22"/>
      <c r="F407" s="23">
        <f>SUM(F399:F406)</f>
        <v>8600001</v>
      </c>
      <c r="G407" s="23"/>
      <c r="H407" s="23">
        <f>SUM(H399:H406)</f>
        <v>1414577574.9274902</v>
      </c>
      <c r="I407" s="23"/>
      <c r="J407" s="26"/>
      <c r="K407" s="27"/>
      <c r="L407" s="27"/>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row>
    <row r="408" spans="1:114" s="38" customFormat="1" ht="15.75" customHeight="1">
      <c r="A408" s="75">
        <f>A406+1</f>
        <v>323</v>
      </c>
      <c r="B408" s="76">
        <f>B406+1</f>
        <v>49</v>
      </c>
      <c r="C408" s="102" t="s">
        <v>656</v>
      </c>
      <c r="D408" s="103" t="s">
        <v>657</v>
      </c>
      <c r="E408" s="102" t="s">
        <v>598</v>
      </c>
      <c r="F408" s="104"/>
      <c r="G408" s="105"/>
      <c r="H408" s="106">
        <v>291027958</v>
      </c>
      <c r="I408" s="107"/>
      <c r="J408" s="26"/>
      <c r="K408" s="43"/>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row>
    <row r="409" spans="1:114" s="38" customFormat="1" ht="22.5" customHeight="1">
      <c r="A409" s="75">
        <f t="shared" si="30"/>
        <v>324</v>
      </c>
      <c r="B409" s="76">
        <f t="shared" si="31"/>
        <v>50</v>
      </c>
      <c r="C409" s="102" t="s">
        <v>623</v>
      </c>
      <c r="D409" s="103" t="s">
        <v>624</v>
      </c>
      <c r="E409" s="102" t="s">
        <v>598</v>
      </c>
      <c r="F409" s="104"/>
      <c r="G409" s="105"/>
      <c r="H409" s="106">
        <v>43568414.54</v>
      </c>
      <c r="I409" s="107"/>
      <c r="J409" s="26"/>
      <c r="K409" s="43"/>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row>
    <row r="410" spans="1:114" s="38" customFormat="1" ht="15" customHeight="1">
      <c r="A410" s="75">
        <f t="shared" si="30"/>
        <v>325</v>
      </c>
      <c r="B410" s="76">
        <f t="shared" si="31"/>
        <v>51</v>
      </c>
      <c r="C410" s="102" t="s">
        <v>623</v>
      </c>
      <c r="D410" s="103" t="s">
        <v>625</v>
      </c>
      <c r="E410" s="102" t="s">
        <v>598</v>
      </c>
      <c r="F410" s="104"/>
      <c r="G410" s="105"/>
      <c r="H410" s="106">
        <v>14580022</v>
      </c>
      <c r="I410" s="107"/>
      <c r="J410" s="26"/>
      <c r="K410" s="43"/>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row>
    <row r="411" spans="1:114" s="38" customFormat="1" ht="25.5" customHeight="1">
      <c r="A411" s="75">
        <f t="shared" si="30"/>
        <v>326</v>
      </c>
      <c r="B411" s="76">
        <f t="shared" si="31"/>
        <v>52</v>
      </c>
      <c r="C411" s="102" t="s">
        <v>628</v>
      </c>
      <c r="D411" s="103" t="s">
        <v>627</v>
      </c>
      <c r="E411" s="102" t="s">
        <v>688</v>
      </c>
      <c r="F411" s="104"/>
      <c r="G411" s="105"/>
      <c r="H411" s="106">
        <f>126000000/1.19</f>
        <v>105882352.94117647</v>
      </c>
      <c r="I411" s="107"/>
      <c r="J411" s="26"/>
      <c r="K411" s="43"/>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row>
    <row r="412" spans="1:114" s="38" customFormat="1" ht="20.25" customHeight="1">
      <c r="A412" s="75">
        <f t="shared" si="30"/>
        <v>327</v>
      </c>
      <c r="B412" s="76">
        <f t="shared" si="31"/>
        <v>53</v>
      </c>
      <c r="C412" s="102" t="s">
        <v>560</v>
      </c>
      <c r="D412" s="103" t="s">
        <v>561</v>
      </c>
      <c r="E412" s="102" t="s">
        <v>688</v>
      </c>
      <c r="F412" s="104"/>
      <c r="G412" s="105"/>
      <c r="H412" s="106">
        <f>256977248/1.19</f>
        <v>215947267.22689077</v>
      </c>
      <c r="I412" s="107"/>
      <c r="J412" s="26"/>
      <c r="K412" s="43"/>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row>
    <row r="413" spans="1:114" s="38" customFormat="1" ht="18" customHeight="1">
      <c r="A413" s="75">
        <f t="shared" si="30"/>
        <v>328</v>
      </c>
      <c r="B413" s="76">
        <f t="shared" si="31"/>
        <v>54</v>
      </c>
      <c r="C413" s="102" t="s">
        <v>368</v>
      </c>
      <c r="D413" s="103" t="s">
        <v>369</v>
      </c>
      <c r="E413" s="102" t="s">
        <v>3</v>
      </c>
      <c r="F413" s="104"/>
      <c r="G413" s="105"/>
      <c r="H413" s="106">
        <v>360123422.88135594</v>
      </c>
      <c r="I413" s="107"/>
      <c r="J413" s="26"/>
      <c r="K413" s="43"/>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row>
    <row r="414" spans="1:114" s="38" customFormat="1" ht="20.25" customHeight="1">
      <c r="A414" s="75">
        <f t="shared" si="30"/>
        <v>329</v>
      </c>
      <c r="B414" s="76">
        <f t="shared" si="31"/>
        <v>55</v>
      </c>
      <c r="C414" s="102" t="s">
        <v>36</v>
      </c>
      <c r="D414" s="103" t="s">
        <v>779</v>
      </c>
      <c r="E414" s="102" t="s">
        <v>598</v>
      </c>
      <c r="F414" s="104"/>
      <c r="G414" s="105"/>
      <c r="H414" s="106">
        <v>62545294</v>
      </c>
      <c r="I414" s="107"/>
      <c r="J414" s="26"/>
      <c r="K414" s="43"/>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row>
    <row r="415" spans="1:114" s="38" customFormat="1" ht="27" customHeight="1">
      <c r="A415" s="75">
        <f t="shared" si="30"/>
        <v>330</v>
      </c>
      <c r="B415" s="76">
        <f t="shared" si="31"/>
        <v>56</v>
      </c>
      <c r="C415" s="102" t="s">
        <v>36</v>
      </c>
      <c r="D415" s="103" t="s">
        <v>1030</v>
      </c>
      <c r="E415" s="102" t="s">
        <v>411</v>
      </c>
      <c r="F415" s="104"/>
      <c r="G415" s="105"/>
      <c r="H415" s="106">
        <v>145000000</v>
      </c>
      <c r="I415" s="107"/>
      <c r="J415" s="26"/>
      <c r="K415" s="43"/>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row>
    <row r="416" spans="1:114" s="38" customFormat="1" ht="19.5" customHeight="1">
      <c r="A416" s="75">
        <f aca="true" t="shared" si="32" ref="A416:A455">A415+1</f>
        <v>331</v>
      </c>
      <c r="B416" s="76">
        <f aca="true" t="shared" si="33" ref="B416:B455">B415+1</f>
        <v>57</v>
      </c>
      <c r="C416" s="102" t="s">
        <v>641</v>
      </c>
      <c r="D416" s="103" t="s">
        <v>642</v>
      </c>
      <c r="E416" s="102" t="s">
        <v>598</v>
      </c>
      <c r="F416" s="104"/>
      <c r="G416" s="105"/>
      <c r="H416" s="106">
        <v>300000000</v>
      </c>
      <c r="I416" s="107"/>
      <c r="J416" s="26"/>
      <c r="K416" s="43"/>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row>
    <row r="417" spans="1:114" s="30" customFormat="1" ht="15.75" customHeight="1">
      <c r="A417" s="282" t="s">
        <v>622</v>
      </c>
      <c r="B417" s="283"/>
      <c r="C417" s="283"/>
      <c r="D417" s="283"/>
      <c r="E417" s="22"/>
      <c r="F417" s="23"/>
      <c r="G417" s="23"/>
      <c r="H417" s="23">
        <f>SUM(H408:H416)</f>
        <v>1538674731.5894232</v>
      </c>
      <c r="I417" s="23"/>
      <c r="J417" s="26"/>
      <c r="K417" s="27"/>
      <c r="L417" s="27"/>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row>
    <row r="418" spans="1:114" s="44" customFormat="1" ht="22.5" customHeight="1">
      <c r="A418" s="75">
        <f>A416+1</f>
        <v>332</v>
      </c>
      <c r="B418" s="76">
        <f>B416+1</f>
        <v>58</v>
      </c>
      <c r="C418" s="102" t="s">
        <v>740</v>
      </c>
      <c r="D418" s="103" t="s">
        <v>741</v>
      </c>
      <c r="E418" s="102" t="s">
        <v>633</v>
      </c>
      <c r="F418" s="104">
        <v>28389918</v>
      </c>
      <c r="G418" s="105" t="s">
        <v>807</v>
      </c>
      <c r="H418" s="106">
        <v>150000000</v>
      </c>
      <c r="I418" s="107"/>
      <c r="J418" s="26"/>
      <c r="K418" s="43"/>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row>
    <row r="419" spans="1:114" s="38" customFormat="1" ht="33.75" customHeight="1">
      <c r="A419" s="75">
        <f t="shared" si="32"/>
        <v>333</v>
      </c>
      <c r="B419" s="76">
        <f t="shared" si="33"/>
        <v>59</v>
      </c>
      <c r="C419" s="102" t="s">
        <v>743</v>
      </c>
      <c r="D419" s="181" t="s">
        <v>810</v>
      </c>
      <c r="E419" s="102" t="s">
        <v>688</v>
      </c>
      <c r="F419" s="104"/>
      <c r="G419" s="105"/>
      <c r="H419" s="106">
        <v>239460517.3</v>
      </c>
      <c r="I419" s="107"/>
      <c r="J419" s="37"/>
      <c r="K419" s="27"/>
      <c r="L419" s="27"/>
      <c r="M419" s="27"/>
      <c r="N419" s="27"/>
      <c r="O419" s="27"/>
      <c r="P419" s="27"/>
      <c r="Q419" s="27"/>
      <c r="R419" s="27"/>
      <c r="S419" s="27"/>
      <c r="T419" s="27"/>
      <c r="U419" s="27"/>
      <c r="V419" s="28"/>
      <c r="W419" s="28"/>
      <c r="X419" s="28"/>
      <c r="Y419" s="28"/>
      <c r="Z419" s="28"/>
      <c r="AA419" s="28"/>
      <c r="AB419" s="28"/>
      <c r="AC419" s="28"/>
      <c r="AD419" s="28"/>
      <c r="AE419" s="28"/>
      <c r="AF419" s="28"/>
      <c r="AG419" s="28"/>
      <c r="AH419" s="28"/>
      <c r="AI419" s="28"/>
      <c r="AJ419" s="28"/>
      <c r="AK419" s="28"/>
      <c r="AL419" s="28"/>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row>
    <row r="420" spans="1:114" s="38" customFormat="1" ht="19.5" customHeight="1">
      <c r="A420" s="75">
        <f t="shared" si="32"/>
        <v>334</v>
      </c>
      <c r="B420" s="76">
        <f t="shared" si="33"/>
        <v>60</v>
      </c>
      <c r="C420" s="102" t="s">
        <v>761</v>
      </c>
      <c r="D420" s="103" t="s">
        <v>762</v>
      </c>
      <c r="E420" s="102" t="s">
        <v>598</v>
      </c>
      <c r="F420" s="104"/>
      <c r="G420" s="105"/>
      <c r="H420" s="106">
        <v>2555000000</v>
      </c>
      <c r="I420" s="107" t="s">
        <v>763</v>
      </c>
      <c r="J420" s="37"/>
      <c r="K420" s="27"/>
      <c r="L420" s="27"/>
      <c r="M420" s="27"/>
      <c r="N420" s="27"/>
      <c r="O420" s="27"/>
      <c r="P420" s="27"/>
      <c r="Q420" s="27"/>
      <c r="R420" s="27"/>
      <c r="S420" s="27"/>
      <c r="T420" s="27"/>
      <c r="U420" s="27"/>
      <c r="V420" s="28"/>
      <c r="W420" s="28"/>
      <c r="X420" s="28"/>
      <c r="Y420" s="28"/>
      <c r="Z420" s="28"/>
      <c r="AA420" s="28"/>
      <c r="AB420" s="28"/>
      <c r="AC420" s="28"/>
      <c r="AD420" s="28"/>
      <c r="AE420" s="28"/>
      <c r="AF420" s="28"/>
      <c r="AG420" s="28"/>
      <c r="AH420" s="28"/>
      <c r="AI420" s="28"/>
      <c r="AJ420" s="28"/>
      <c r="AK420" s="28"/>
      <c r="AL420" s="28"/>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row>
    <row r="421" spans="1:114" s="38" customFormat="1" ht="22.5" customHeight="1">
      <c r="A421" s="75">
        <f t="shared" si="32"/>
        <v>335</v>
      </c>
      <c r="B421" s="76">
        <f t="shared" si="33"/>
        <v>61</v>
      </c>
      <c r="C421" s="102" t="s">
        <v>767</v>
      </c>
      <c r="D421" s="103" t="s">
        <v>768</v>
      </c>
      <c r="E421" s="102" t="s">
        <v>598</v>
      </c>
      <c r="F421" s="104"/>
      <c r="G421" s="105"/>
      <c r="H421" s="106">
        <v>101406434</v>
      </c>
      <c r="I421" s="107"/>
      <c r="J421" s="37"/>
      <c r="K421" s="27"/>
      <c r="L421" s="27"/>
      <c r="M421" s="27"/>
      <c r="N421" s="27"/>
      <c r="O421" s="27"/>
      <c r="P421" s="27"/>
      <c r="Q421" s="27"/>
      <c r="R421" s="27"/>
      <c r="S421" s="27"/>
      <c r="T421" s="27"/>
      <c r="U421" s="27"/>
      <c r="V421" s="28"/>
      <c r="W421" s="28"/>
      <c r="X421" s="28"/>
      <c r="Y421" s="28"/>
      <c r="Z421" s="28"/>
      <c r="AA421" s="28"/>
      <c r="AB421" s="28"/>
      <c r="AC421" s="28"/>
      <c r="AD421" s="28"/>
      <c r="AE421" s="28"/>
      <c r="AF421" s="28"/>
      <c r="AG421" s="28"/>
      <c r="AH421" s="28"/>
      <c r="AI421" s="28"/>
      <c r="AJ421" s="28"/>
      <c r="AK421" s="28"/>
      <c r="AL421" s="28"/>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row>
    <row r="422" spans="1:115" s="71" customFormat="1" ht="25.5" customHeight="1">
      <c r="A422" s="75">
        <f t="shared" si="32"/>
        <v>336</v>
      </c>
      <c r="B422" s="76">
        <f t="shared" si="33"/>
        <v>62</v>
      </c>
      <c r="C422" s="102" t="s">
        <v>769</v>
      </c>
      <c r="D422" s="103" t="s">
        <v>770</v>
      </c>
      <c r="E422" s="102" t="s">
        <v>309</v>
      </c>
      <c r="F422" s="104"/>
      <c r="G422" s="105"/>
      <c r="H422" s="106">
        <v>748713939</v>
      </c>
      <c r="I422" s="107" t="s">
        <v>771</v>
      </c>
      <c r="J422" s="37"/>
      <c r="K422" s="27"/>
      <c r="L422" s="27"/>
      <c r="M422" s="27"/>
      <c r="N422" s="27"/>
      <c r="O422" s="27"/>
      <c r="P422" s="27"/>
      <c r="Q422" s="27"/>
      <c r="R422" s="27"/>
      <c r="S422" s="27"/>
      <c r="T422" s="27"/>
      <c r="U422" s="27"/>
      <c r="V422" s="28"/>
      <c r="W422" s="28"/>
      <c r="X422" s="28"/>
      <c r="Y422" s="28"/>
      <c r="Z422" s="28"/>
      <c r="AA422" s="28"/>
      <c r="AB422" s="28"/>
      <c r="AC422" s="28"/>
      <c r="AD422" s="28"/>
      <c r="AE422" s="28"/>
      <c r="AF422" s="28"/>
      <c r="AG422" s="28"/>
      <c r="AH422" s="28"/>
      <c r="AI422" s="28"/>
      <c r="AJ422" s="28"/>
      <c r="AK422" s="28"/>
      <c r="AL422" s="28"/>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70"/>
    </row>
    <row r="423" spans="1:115" s="71" customFormat="1" ht="23.25" customHeight="1">
      <c r="A423" s="75">
        <f t="shared" si="32"/>
        <v>337</v>
      </c>
      <c r="B423" s="76">
        <f t="shared" si="33"/>
        <v>63</v>
      </c>
      <c r="C423" s="102" t="s">
        <v>775</v>
      </c>
      <c r="D423" s="103" t="s">
        <v>776</v>
      </c>
      <c r="E423" s="102" t="s">
        <v>598</v>
      </c>
      <c r="F423" s="104"/>
      <c r="G423" s="105"/>
      <c r="H423" s="106">
        <v>113000000</v>
      </c>
      <c r="I423" s="107"/>
      <c r="J423" s="37"/>
      <c r="K423" s="27"/>
      <c r="L423" s="27"/>
      <c r="M423" s="27"/>
      <c r="N423" s="27"/>
      <c r="O423" s="27"/>
      <c r="P423" s="27"/>
      <c r="Q423" s="27"/>
      <c r="R423" s="27"/>
      <c r="S423" s="27"/>
      <c r="T423" s="27"/>
      <c r="U423" s="27"/>
      <c r="V423" s="28"/>
      <c r="W423" s="28"/>
      <c r="X423" s="28"/>
      <c r="Y423" s="28"/>
      <c r="Z423" s="28"/>
      <c r="AA423" s="28"/>
      <c r="AB423" s="28"/>
      <c r="AC423" s="28"/>
      <c r="AD423" s="28"/>
      <c r="AE423" s="28"/>
      <c r="AF423" s="28"/>
      <c r="AG423" s="28"/>
      <c r="AH423" s="28"/>
      <c r="AI423" s="28"/>
      <c r="AJ423" s="28"/>
      <c r="AK423" s="28"/>
      <c r="AL423" s="28"/>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70"/>
    </row>
    <row r="424" spans="1:115" s="71" customFormat="1" ht="21.75" customHeight="1">
      <c r="A424" s="75">
        <f t="shared" si="32"/>
        <v>338</v>
      </c>
      <c r="B424" s="76">
        <f t="shared" si="33"/>
        <v>64</v>
      </c>
      <c r="C424" s="102" t="s">
        <v>777</v>
      </c>
      <c r="D424" s="103" t="s">
        <v>778</v>
      </c>
      <c r="E424" s="102" t="s">
        <v>309</v>
      </c>
      <c r="F424" s="104"/>
      <c r="G424" s="105"/>
      <c r="H424" s="106">
        <v>37058304</v>
      </c>
      <c r="I424" s="107"/>
      <c r="J424" s="37"/>
      <c r="K424" s="27"/>
      <c r="L424" s="27"/>
      <c r="M424" s="27"/>
      <c r="N424" s="27"/>
      <c r="O424" s="27"/>
      <c r="P424" s="27"/>
      <c r="Q424" s="27"/>
      <c r="R424" s="27"/>
      <c r="S424" s="27"/>
      <c r="T424" s="27"/>
      <c r="U424" s="27"/>
      <c r="V424" s="28"/>
      <c r="W424" s="28"/>
      <c r="X424" s="28"/>
      <c r="Y424" s="28"/>
      <c r="Z424" s="28"/>
      <c r="AA424" s="28"/>
      <c r="AB424" s="28"/>
      <c r="AC424" s="28"/>
      <c r="AD424" s="28"/>
      <c r="AE424" s="28"/>
      <c r="AF424" s="28"/>
      <c r="AG424" s="28"/>
      <c r="AH424" s="28"/>
      <c r="AI424" s="28"/>
      <c r="AJ424" s="28"/>
      <c r="AK424" s="28"/>
      <c r="AL424" s="28"/>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70"/>
    </row>
    <row r="425" spans="1:114" s="30" customFormat="1" ht="30" customHeight="1">
      <c r="A425" s="75">
        <f t="shared" si="32"/>
        <v>339</v>
      </c>
      <c r="B425" s="76">
        <f t="shared" si="33"/>
        <v>65</v>
      </c>
      <c r="C425" s="128" t="s">
        <v>803</v>
      </c>
      <c r="D425" s="142" t="s">
        <v>804</v>
      </c>
      <c r="E425" s="128" t="s">
        <v>633</v>
      </c>
      <c r="F425" s="130">
        <v>220800</v>
      </c>
      <c r="G425" s="131"/>
      <c r="H425" s="132">
        <v>1000000</v>
      </c>
      <c r="I425" s="134"/>
      <c r="J425" s="26"/>
      <c r="K425" s="43"/>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row>
    <row r="426" spans="1:114" s="30" customFormat="1" ht="15.75" customHeight="1">
      <c r="A426" s="282" t="s">
        <v>773</v>
      </c>
      <c r="B426" s="283"/>
      <c r="C426" s="283"/>
      <c r="D426" s="283"/>
      <c r="E426" s="22"/>
      <c r="F426" s="23">
        <f>SUM(F418:F425)</f>
        <v>28610718</v>
      </c>
      <c r="G426" s="23"/>
      <c r="H426" s="23">
        <f>SUM(H418:H425)</f>
        <v>3945639194.3</v>
      </c>
      <c r="I426" s="23"/>
      <c r="J426" s="26"/>
      <c r="K426" s="27"/>
      <c r="L426" s="27"/>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row>
    <row r="427" spans="1:114" s="30" customFormat="1" ht="27.75" customHeight="1">
      <c r="A427" s="75">
        <f>A425+1</f>
        <v>340</v>
      </c>
      <c r="B427" s="76">
        <f>B425+1</f>
        <v>66</v>
      </c>
      <c r="C427" s="128" t="s">
        <v>819</v>
      </c>
      <c r="D427" s="142" t="s">
        <v>820</v>
      </c>
      <c r="E427" s="128" t="s">
        <v>598</v>
      </c>
      <c r="F427" s="130"/>
      <c r="G427" s="131"/>
      <c r="H427" s="132">
        <v>55000000</v>
      </c>
      <c r="I427" s="134"/>
      <c r="J427" s="26"/>
      <c r="K427" s="43"/>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row>
    <row r="428" spans="1:114" s="30" customFormat="1" ht="41.25" customHeight="1">
      <c r="A428" s="75">
        <f t="shared" si="32"/>
        <v>341</v>
      </c>
      <c r="B428" s="76">
        <f t="shared" si="33"/>
        <v>67</v>
      </c>
      <c r="C428" s="128" t="s">
        <v>826</v>
      </c>
      <c r="D428" s="142" t="s">
        <v>827</v>
      </c>
      <c r="E428" s="128" t="s">
        <v>633</v>
      </c>
      <c r="F428" s="130">
        <v>48408949</v>
      </c>
      <c r="G428" s="131" t="s">
        <v>828</v>
      </c>
      <c r="H428" s="132">
        <v>343400000</v>
      </c>
      <c r="I428" s="134"/>
      <c r="J428" s="26"/>
      <c r="K428" s="43"/>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row>
    <row r="429" spans="1:114" s="30" customFormat="1" ht="34.5" customHeight="1">
      <c r="A429" s="75">
        <f t="shared" si="32"/>
        <v>342</v>
      </c>
      <c r="B429" s="76">
        <f t="shared" si="33"/>
        <v>68</v>
      </c>
      <c r="C429" s="128" t="s">
        <v>830</v>
      </c>
      <c r="D429" s="142" t="s">
        <v>831</v>
      </c>
      <c r="E429" s="128" t="s">
        <v>688</v>
      </c>
      <c r="F429" s="130"/>
      <c r="G429" s="131"/>
      <c r="H429" s="132">
        <f>195890000/1.18</f>
        <v>166008474.5762712</v>
      </c>
      <c r="I429" s="134"/>
      <c r="J429" s="26"/>
      <c r="K429" s="43"/>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8"/>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row>
    <row r="430" spans="1:114" s="30" customFormat="1" ht="27" customHeight="1">
      <c r="A430" s="75">
        <f t="shared" si="32"/>
        <v>343</v>
      </c>
      <c r="B430" s="76">
        <f t="shared" si="33"/>
        <v>69</v>
      </c>
      <c r="C430" s="128" t="s">
        <v>832</v>
      </c>
      <c r="D430" s="142" t="s">
        <v>833</v>
      </c>
      <c r="E430" s="128" t="s">
        <v>598</v>
      </c>
      <c r="F430" s="130"/>
      <c r="G430" s="131"/>
      <c r="H430" s="132">
        <v>106887489</v>
      </c>
      <c r="I430" s="134"/>
      <c r="J430" s="26"/>
      <c r="K430" s="43"/>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row>
    <row r="431" spans="1:114" s="30" customFormat="1" ht="21.75" customHeight="1">
      <c r="A431" s="75">
        <f t="shared" si="32"/>
        <v>344</v>
      </c>
      <c r="B431" s="76">
        <f t="shared" si="33"/>
        <v>70</v>
      </c>
      <c r="C431" s="128" t="s">
        <v>835</v>
      </c>
      <c r="D431" s="142" t="s">
        <v>836</v>
      </c>
      <c r="E431" s="128" t="s">
        <v>45</v>
      </c>
      <c r="F431" s="130"/>
      <c r="G431" s="131"/>
      <c r="H431" s="132">
        <v>159352.04460966543</v>
      </c>
      <c r="I431" s="134" t="s">
        <v>1114</v>
      </c>
      <c r="J431" s="26"/>
      <c r="K431" s="43"/>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row>
    <row r="432" spans="1:114" s="30" customFormat="1" ht="15.75" customHeight="1">
      <c r="A432" s="282" t="s">
        <v>821</v>
      </c>
      <c r="B432" s="283"/>
      <c r="C432" s="283"/>
      <c r="D432" s="283"/>
      <c r="E432" s="22"/>
      <c r="F432" s="23">
        <f>F428</f>
        <v>48408949</v>
      </c>
      <c r="G432" s="23"/>
      <c r="H432" s="23">
        <f>SUM(H427:H431)</f>
        <v>671455315.6208808</v>
      </c>
      <c r="I432" s="23"/>
      <c r="J432" s="26"/>
      <c r="K432" s="27"/>
      <c r="L432" s="27"/>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8"/>
      <c r="AL432" s="28"/>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row>
    <row r="433" spans="1:114" s="30" customFormat="1" ht="30.75" customHeight="1">
      <c r="A433" s="75">
        <f>A431+1</f>
        <v>345</v>
      </c>
      <c r="B433" s="76">
        <f>B431+1</f>
        <v>71</v>
      </c>
      <c r="C433" s="128" t="s">
        <v>837</v>
      </c>
      <c r="D433" s="142" t="s">
        <v>838</v>
      </c>
      <c r="E433" s="128" t="s">
        <v>598</v>
      </c>
      <c r="F433" s="130"/>
      <c r="G433" s="131"/>
      <c r="H433" s="132">
        <v>114262782</v>
      </c>
      <c r="I433" s="134"/>
      <c r="J433" s="26"/>
      <c r="K433" s="43"/>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row>
    <row r="434" spans="1:114" s="30" customFormat="1" ht="24.75" customHeight="1">
      <c r="A434" s="126">
        <f t="shared" si="32"/>
        <v>346</v>
      </c>
      <c r="B434" s="76">
        <f t="shared" si="33"/>
        <v>72</v>
      </c>
      <c r="C434" s="128" t="s">
        <v>842</v>
      </c>
      <c r="D434" s="142" t="s">
        <v>843</v>
      </c>
      <c r="E434" s="128" t="s">
        <v>598</v>
      </c>
      <c r="F434" s="130"/>
      <c r="G434" s="131"/>
      <c r="H434" s="159">
        <v>600000000</v>
      </c>
      <c r="I434" s="134"/>
      <c r="J434" s="26"/>
      <c r="K434" s="43"/>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row>
    <row r="435" spans="1:114" s="30" customFormat="1" ht="26.25" customHeight="1">
      <c r="A435" s="75">
        <f t="shared" si="32"/>
        <v>347</v>
      </c>
      <c r="B435" s="76">
        <f t="shared" si="33"/>
        <v>73</v>
      </c>
      <c r="C435" s="128" t="s">
        <v>844</v>
      </c>
      <c r="D435" s="142" t="s">
        <v>845</v>
      </c>
      <c r="E435" s="128" t="s">
        <v>598</v>
      </c>
      <c r="F435" s="130"/>
      <c r="G435" s="131"/>
      <c r="H435" s="159">
        <v>100000000</v>
      </c>
      <c r="I435" s="134"/>
      <c r="J435" s="26"/>
      <c r="K435" s="43"/>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28"/>
      <c r="AJ435" s="28"/>
      <c r="AK435" s="28"/>
      <c r="AL435" s="28"/>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row>
    <row r="436" spans="1:114" s="30" customFormat="1" ht="30.75" customHeight="1">
      <c r="A436" s="75">
        <f t="shared" si="32"/>
        <v>348</v>
      </c>
      <c r="B436" s="76">
        <f t="shared" si="33"/>
        <v>74</v>
      </c>
      <c r="C436" s="128" t="s">
        <v>846</v>
      </c>
      <c r="D436" s="142" t="s">
        <v>847</v>
      </c>
      <c r="E436" s="128" t="s">
        <v>598</v>
      </c>
      <c r="F436" s="130"/>
      <c r="G436" s="131"/>
      <c r="H436" s="132">
        <v>278365620</v>
      </c>
      <c r="I436" s="134"/>
      <c r="J436" s="26"/>
      <c r="K436" s="43"/>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row>
    <row r="437" spans="1:114" s="30" customFormat="1" ht="30.75" customHeight="1">
      <c r="A437" s="75">
        <f t="shared" si="32"/>
        <v>349</v>
      </c>
      <c r="B437" s="76">
        <f t="shared" si="33"/>
        <v>75</v>
      </c>
      <c r="C437" s="128" t="s">
        <v>848</v>
      </c>
      <c r="D437" s="142" t="s">
        <v>849</v>
      </c>
      <c r="E437" s="128" t="s">
        <v>633</v>
      </c>
      <c r="F437" s="130">
        <f>(152229000+105511176)/1.18</f>
        <v>218423877.9661017</v>
      </c>
      <c r="G437" s="131"/>
      <c r="H437" s="159">
        <f>800000000+F437</f>
        <v>1018423877.9661016</v>
      </c>
      <c r="I437" s="134"/>
      <c r="J437" s="26"/>
      <c r="K437" s="43"/>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8"/>
      <c r="AL437" s="28"/>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row>
    <row r="438" spans="1:114" s="30" customFormat="1" ht="25.5" customHeight="1">
      <c r="A438" s="75">
        <f t="shared" si="32"/>
        <v>350</v>
      </c>
      <c r="B438" s="76">
        <f t="shared" si="33"/>
        <v>76</v>
      </c>
      <c r="C438" s="128" t="s">
        <v>850</v>
      </c>
      <c r="D438" s="142" t="s">
        <v>851</v>
      </c>
      <c r="E438" s="128" t="s">
        <v>594</v>
      </c>
      <c r="F438" s="130"/>
      <c r="G438" s="131"/>
      <c r="H438" s="159">
        <v>205000000</v>
      </c>
      <c r="I438" s="134"/>
      <c r="J438" s="26"/>
      <c r="K438" s="43"/>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8"/>
      <c r="AL438" s="28"/>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row>
    <row r="439" spans="1:114" s="30" customFormat="1" ht="27" customHeight="1">
      <c r="A439" s="75">
        <f t="shared" si="32"/>
        <v>351</v>
      </c>
      <c r="B439" s="76">
        <f t="shared" si="33"/>
        <v>77</v>
      </c>
      <c r="C439" s="128" t="s">
        <v>1022</v>
      </c>
      <c r="D439" s="142" t="s">
        <v>1021</v>
      </c>
      <c r="E439" s="128" t="s">
        <v>411</v>
      </c>
      <c r="F439" s="130"/>
      <c r="G439" s="131"/>
      <c r="H439" s="159">
        <v>100000000</v>
      </c>
      <c r="I439" s="134"/>
      <c r="J439" s="26"/>
      <c r="K439" s="43"/>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8"/>
      <c r="AL439" s="28"/>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row>
    <row r="440" spans="1:114" s="30" customFormat="1" ht="22.5" customHeight="1">
      <c r="A440" s="75">
        <f t="shared" si="32"/>
        <v>352</v>
      </c>
      <c r="B440" s="76">
        <f t="shared" si="33"/>
        <v>78</v>
      </c>
      <c r="C440" s="128" t="s">
        <v>1023</v>
      </c>
      <c r="D440" s="142" t="s">
        <v>1024</v>
      </c>
      <c r="E440" s="128" t="s">
        <v>1025</v>
      </c>
      <c r="F440" s="130"/>
      <c r="G440" s="131"/>
      <c r="H440" s="159">
        <v>573684398</v>
      </c>
      <c r="I440" s="134"/>
      <c r="J440" s="26"/>
      <c r="K440" s="43"/>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8"/>
      <c r="AL440" s="28"/>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row>
    <row r="441" spans="1:114" s="30" customFormat="1" ht="30.75" customHeight="1">
      <c r="A441" s="75">
        <f t="shared" si="32"/>
        <v>353</v>
      </c>
      <c r="B441" s="76">
        <f t="shared" si="33"/>
        <v>79</v>
      </c>
      <c r="C441" s="128" t="s">
        <v>1026</v>
      </c>
      <c r="D441" s="142" t="s">
        <v>1027</v>
      </c>
      <c r="E441" s="128" t="s">
        <v>688</v>
      </c>
      <c r="F441" s="130"/>
      <c r="G441" s="131"/>
      <c r="H441" s="159">
        <v>552000000</v>
      </c>
      <c r="I441" s="134"/>
      <c r="J441" s="26"/>
      <c r="K441" s="43"/>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row>
    <row r="442" spans="1:114" s="30" customFormat="1" ht="30.75" customHeight="1">
      <c r="A442" s="75">
        <f t="shared" si="32"/>
        <v>354</v>
      </c>
      <c r="B442" s="76">
        <f t="shared" si="33"/>
        <v>80</v>
      </c>
      <c r="C442" s="128" t="s">
        <v>1029</v>
      </c>
      <c r="D442" s="142" t="s">
        <v>1028</v>
      </c>
      <c r="E442" s="128" t="s">
        <v>633</v>
      </c>
      <c r="F442" s="130"/>
      <c r="G442" s="131"/>
      <c r="H442" s="159">
        <v>275880000</v>
      </c>
      <c r="I442" s="134"/>
      <c r="J442" s="252"/>
      <c r="K442" s="43"/>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row>
    <row r="443" spans="1:114" s="30" customFormat="1" ht="15.75" customHeight="1">
      <c r="A443" s="282" t="s">
        <v>841</v>
      </c>
      <c r="B443" s="283"/>
      <c r="C443" s="283"/>
      <c r="D443" s="283"/>
      <c r="E443" s="22"/>
      <c r="F443" s="23">
        <f>F437</f>
        <v>218423877.9661017</v>
      </c>
      <c r="G443" s="23"/>
      <c r="H443" s="23">
        <f>SUM(H433:H442)</f>
        <v>3817616677.9661016</v>
      </c>
      <c r="I443" s="23"/>
      <c r="J443" s="26"/>
      <c r="K443" s="27"/>
      <c r="L443" s="27"/>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8"/>
      <c r="AL443" s="28"/>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row>
    <row r="444" spans="1:114" s="30" customFormat="1" ht="30.75" customHeight="1">
      <c r="A444" s="75">
        <f>A442+1</f>
        <v>355</v>
      </c>
      <c r="B444" s="76">
        <f>B442+1</f>
        <v>81</v>
      </c>
      <c r="C444" s="128" t="s">
        <v>1036</v>
      </c>
      <c r="D444" s="142" t="s">
        <v>1037</v>
      </c>
      <c r="E444" s="128" t="s">
        <v>688</v>
      </c>
      <c r="F444" s="130"/>
      <c r="G444" s="131"/>
      <c r="H444" s="159">
        <v>5075150000</v>
      </c>
      <c r="I444" s="134" t="s">
        <v>1038</v>
      </c>
      <c r="J444" s="26"/>
      <c r="K444" s="43"/>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8"/>
      <c r="AL444" s="28"/>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row>
    <row r="445" spans="1:114" s="30" customFormat="1" ht="30.75" customHeight="1">
      <c r="A445" s="75">
        <f t="shared" si="32"/>
        <v>356</v>
      </c>
      <c r="B445" s="76">
        <f t="shared" si="33"/>
        <v>82</v>
      </c>
      <c r="C445" s="128" t="s">
        <v>1039</v>
      </c>
      <c r="D445" s="142" t="s">
        <v>1043</v>
      </c>
      <c r="E445" s="128" t="s">
        <v>688</v>
      </c>
      <c r="F445" s="130"/>
      <c r="G445" s="131"/>
      <c r="H445" s="159">
        <v>537000000</v>
      </c>
      <c r="I445" s="134" t="s">
        <v>1041</v>
      </c>
      <c r="J445" s="26"/>
      <c r="K445" s="43"/>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row>
    <row r="446" spans="1:114" s="30" customFormat="1" ht="30.75" customHeight="1">
      <c r="A446" s="75">
        <f t="shared" si="32"/>
        <v>357</v>
      </c>
      <c r="B446" s="76">
        <f t="shared" si="33"/>
        <v>83</v>
      </c>
      <c r="C446" s="128" t="s">
        <v>1040</v>
      </c>
      <c r="D446" s="142" t="s">
        <v>1044</v>
      </c>
      <c r="E446" s="128" t="s">
        <v>688</v>
      </c>
      <c r="F446" s="130"/>
      <c r="G446" s="131"/>
      <c r="H446" s="159">
        <v>128800000</v>
      </c>
      <c r="I446" s="134" t="s">
        <v>1042</v>
      </c>
      <c r="J446" s="26"/>
      <c r="K446" s="43"/>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row>
    <row r="447" spans="1:114" s="30" customFormat="1" ht="30.75" customHeight="1">
      <c r="A447" s="75">
        <f t="shared" si="32"/>
        <v>358</v>
      </c>
      <c r="B447" s="76">
        <f t="shared" si="33"/>
        <v>84</v>
      </c>
      <c r="C447" s="128" t="s">
        <v>1056</v>
      </c>
      <c r="D447" s="142" t="s">
        <v>1052</v>
      </c>
      <c r="E447" s="128" t="s">
        <v>598</v>
      </c>
      <c r="F447" s="130"/>
      <c r="G447" s="131"/>
      <c r="H447" s="159">
        <v>35355278</v>
      </c>
      <c r="I447" s="134"/>
      <c r="J447" s="26"/>
      <c r="K447" s="43"/>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row>
    <row r="448" spans="1:114" s="30" customFormat="1" ht="30.75" customHeight="1">
      <c r="A448" s="75">
        <f t="shared" si="32"/>
        <v>359</v>
      </c>
      <c r="B448" s="76">
        <f t="shared" si="33"/>
        <v>85</v>
      </c>
      <c r="C448" s="128" t="s">
        <v>1055</v>
      </c>
      <c r="D448" s="142" t="s">
        <v>1053</v>
      </c>
      <c r="E448" s="128" t="s">
        <v>45</v>
      </c>
      <c r="F448" s="130"/>
      <c r="G448" s="131"/>
      <c r="H448" s="159">
        <v>17893191</v>
      </c>
      <c r="I448" s="134"/>
      <c r="J448" s="26"/>
      <c r="K448" s="43"/>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row>
    <row r="449" spans="1:114" s="30" customFormat="1" ht="30.75" customHeight="1">
      <c r="A449" s="75">
        <f t="shared" si="32"/>
        <v>360</v>
      </c>
      <c r="B449" s="76">
        <f t="shared" si="33"/>
        <v>86</v>
      </c>
      <c r="C449" s="128" t="s">
        <v>1057</v>
      </c>
      <c r="D449" s="142" t="s">
        <v>1054</v>
      </c>
      <c r="E449" s="128" t="s">
        <v>598</v>
      </c>
      <c r="F449" s="130"/>
      <c r="G449" s="131"/>
      <c r="H449" s="159">
        <v>499175573</v>
      </c>
      <c r="I449" s="134"/>
      <c r="J449" s="26"/>
      <c r="K449" s="43"/>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row>
    <row r="450" spans="1:114" s="30" customFormat="1" ht="30.75" customHeight="1">
      <c r="A450" s="75">
        <f>A449+1</f>
        <v>361</v>
      </c>
      <c r="B450" s="76">
        <f>B449+1</f>
        <v>87</v>
      </c>
      <c r="C450" s="128" t="s">
        <v>1058</v>
      </c>
      <c r="D450" s="142" t="s">
        <v>1096</v>
      </c>
      <c r="E450" s="128" t="s">
        <v>594</v>
      </c>
      <c r="F450" s="130"/>
      <c r="G450" s="131"/>
      <c r="H450" s="159">
        <v>3643000000</v>
      </c>
      <c r="I450" s="134"/>
      <c r="J450" s="26"/>
      <c r="K450" s="43"/>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row>
    <row r="451" spans="1:114" s="30" customFormat="1" ht="31.5" customHeight="1">
      <c r="A451" s="75">
        <f>A450+1</f>
        <v>362</v>
      </c>
      <c r="B451" s="76">
        <f>B450+1</f>
        <v>88</v>
      </c>
      <c r="C451" s="128" t="s">
        <v>1069</v>
      </c>
      <c r="D451" s="142" t="s">
        <v>1070</v>
      </c>
      <c r="E451" s="128" t="s">
        <v>598</v>
      </c>
      <c r="F451" s="130"/>
      <c r="G451" s="131"/>
      <c r="H451" s="159">
        <f>25983607+12800155</f>
        <v>38783762</v>
      </c>
      <c r="I451" s="134"/>
      <c r="J451" s="252"/>
      <c r="K451" s="43"/>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row>
    <row r="452" spans="1:114" s="30" customFormat="1" ht="15.75" customHeight="1">
      <c r="A452" s="282" t="s">
        <v>1071</v>
      </c>
      <c r="B452" s="283"/>
      <c r="C452" s="283"/>
      <c r="D452" s="283"/>
      <c r="E452" s="22"/>
      <c r="F452" s="23"/>
      <c r="G452" s="23"/>
      <c r="H452" s="23">
        <f>SUM(H444:H451)</f>
        <v>9975157804</v>
      </c>
      <c r="I452" s="23"/>
      <c r="J452" s="26"/>
      <c r="K452" s="27"/>
      <c r="L452" s="27"/>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row>
    <row r="453" spans="1:114" s="30" customFormat="1" ht="31.5" customHeight="1">
      <c r="A453" s="75">
        <f>A451+1</f>
        <v>363</v>
      </c>
      <c r="B453" s="76">
        <f>B451+1</f>
        <v>89</v>
      </c>
      <c r="C453" s="128" t="s">
        <v>1073</v>
      </c>
      <c r="D453" s="142" t="s">
        <v>1072</v>
      </c>
      <c r="E453" s="128" t="s">
        <v>598</v>
      </c>
      <c r="F453" s="130"/>
      <c r="G453" s="131"/>
      <c r="H453" s="159">
        <v>36812000</v>
      </c>
      <c r="I453" s="134"/>
      <c r="J453" s="252"/>
      <c r="K453" s="43"/>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row>
    <row r="454" spans="1:114" s="30" customFormat="1" ht="31.5" customHeight="1">
      <c r="A454" s="75">
        <f t="shared" si="32"/>
        <v>364</v>
      </c>
      <c r="B454" s="76">
        <f t="shared" si="33"/>
        <v>90</v>
      </c>
      <c r="C454" s="128" t="s">
        <v>1079</v>
      </c>
      <c r="D454" s="142" t="s">
        <v>1080</v>
      </c>
      <c r="E454" s="128" t="s">
        <v>598</v>
      </c>
      <c r="F454" s="130"/>
      <c r="G454" s="131"/>
      <c r="H454" s="254">
        <v>42703410</v>
      </c>
      <c r="I454" s="134"/>
      <c r="J454" s="252"/>
      <c r="K454" s="43"/>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row>
    <row r="455" spans="1:114" s="30" customFormat="1" ht="31.5" customHeight="1">
      <c r="A455" s="75">
        <f t="shared" si="32"/>
        <v>365</v>
      </c>
      <c r="B455" s="76">
        <f t="shared" si="33"/>
        <v>91</v>
      </c>
      <c r="C455" s="128" t="s">
        <v>1082</v>
      </c>
      <c r="D455" s="142" t="s">
        <v>1081</v>
      </c>
      <c r="E455" s="128" t="s">
        <v>598</v>
      </c>
      <c r="F455" s="130"/>
      <c r="G455" s="131"/>
      <c r="H455" s="254">
        <v>20219000</v>
      </c>
      <c r="I455" s="134"/>
      <c r="J455" s="252"/>
      <c r="K455" s="43"/>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row>
    <row r="456" spans="1:114" s="30" customFormat="1" ht="15.75" customHeight="1">
      <c r="A456" s="282" t="s">
        <v>1093</v>
      </c>
      <c r="B456" s="283"/>
      <c r="C456" s="283"/>
      <c r="D456" s="283"/>
      <c r="E456" s="22"/>
      <c r="F456" s="23"/>
      <c r="G456" s="23"/>
      <c r="H456" s="23">
        <f>SUM(H453:H455)</f>
        <v>99734410</v>
      </c>
      <c r="I456" s="23"/>
      <c r="J456" s="26"/>
      <c r="K456" s="27"/>
      <c r="L456" s="27"/>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row>
    <row r="457" spans="1:114" s="30" customFormat="1" ht="31.5" customHeight="1">
      <c r="A457" s="75">
        <f>A455+1</f>
        <v>366</v>
      </c>
      <c r="B457" s="76">
        <f>B455+1</f>
        <v>92</v>
      </c>
      <c r="C457" s="128" t="s">
        <v>1088</v>
      </c>
      <c r="D457" s="142" t="s">
        <v>1089</v>
      </c>
      <c r="E457" s="128" t="s">
        <v>633</v>
      </c>
      <c r="F457" s="130">
        <v>911213824</v>
      </c>
      <c r="G457" s="131"/>
      <c r="H457" s="254">
        <v>1680000000</v>
      </c>
      <c r="I457" s="134"/>
      <c r="J457" s="252"/>
      <c r="K457" s="43"/>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row>
    <row r="458" spans="1:114" s="30" customFormat="1" ht="15.75" customHeight="1">
      <c r="A458" s="282" t="s">
        <v>1094</v>
      </c>
      <c r="B458" s="283"/>
      <c r="C458" s="283"/>
      <c r="D458" s="283"/>
      <c r="E458" s="22"/>
      <c r="F458" s="23">
        <f>F457</f>
        <v>911213824</v>
      </c>
      <c r="G458" s="23"/>
      <c r="H458" s="23">
        <f>H457</f>
        <v>1680000000</v>
      </c>
      <c r="I458" s="23"/>
      <c r="J458" s="26"/>
      <c r="K458" s="27"/>
      <c r="L458" s="27"/>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row>
    <row r="459" spans="1:114" s="30" customFormat="1" ht="15.75" customHeight="1">
      <c r="A459" s="75">
        <f>A457+1</f>
        <v>367</v>
      </c>
      <c r="B459" s="76">
        <f>B457+1</f>
        <v>93</v>
      </c>
      <c r="C459" s="128" t="s">
        <v>1102</v>
      </c>
      <c r="D459" s="142" t="s">
        <v>1103</v>
      </c>
      <c r="E459" s="128" t="s">
        <v>598</v>
      </c>
      <c r="F459" s="130"/>
      <c r="G459" s="131"/>
      <c r="H459" s="254">
        <v>8830000</v>
      </c>
      <c r="I459" s="134"/>
      <c r="J459" s="26"/>
      <c r="K459" s="27"/>
      <c r="L459" s="27"/>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row>
    <row r="460" spans="1:114" s="30" customFormat="1" ht="15.75" customHeight="1">
      <c r="A460" s="75">
        <f>+A459+1</f>
        <v>368</v>
      </c>
      <c r="B460" s="76">
        <f>B459+1</f>
        <v>94</v>
      </c>
      <c r="C460" s="128" t="s">
        <v>1105</v>
      </c>
      <c r="D460" s="142" t="s">
        <v>1106</v>
      </c>
      <c r="E460" s="128" t="s">
        <v>309</v>
      </c>
      <c r="F460" s="130"/>
      <c r="G460" s="131"/>
      <c r="H460" s="254">
        <v>94711304</v>
      </c>
      <c r="I460" s="134"/>
      <c r="J460" s="26"/>
      <c r="K460" s="27"/>
      <c r="L460" s="27"/>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row>
    <row r="461" spans="1:114" s="30" customFormat="1" ht="25.5">
      <c r="A461" s="264">
        <f>+A460+1</f>
        <v>369</v>
      </c>
      <c r="B461" s="265">
        <f>B460+1</f>
        <v>95</v>
      </c>
      <c r="C461" s="198" t="s">
        <v>1111</v>
      </c>
      <c r="D461" s="266" t="s">
        <v>1107</v>
      </c>
      <c r="E461" s="198" t="s">
        <v>598</v>
      </c>
      <c r="F461" s="200"/>
      <c r="G461" s="201"/>
      <c r="H461" s="267">
        <v>272040106</v>
      </c>
      <c r="I461" s="202"/>
      <c r="J461" s="26"/>
      <c r="K461" s="27"/>
      <c r="L461" s="27"/>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row>
    <row r="462" spans="1:114" s="30" customFormat="1" ht="15.75" customHeight="1">
      <c r="A462" s="264">
        <f>+A461+1</f>
        <v>370</v>
      </c>
      <c r="B462" s="265">
        <f>B461+1</f>
        <v>96</v>
      </c>
      <c r="C462" s="198" t="s">
        <v>1112</v>
      </c>
      <c r="D462" s="266" t="s">
        <v>1108</v>
      </c>
      <c r="E462" s="198" t="s">
        <v>598</v>
      </c>
      <c r="F462" s="200"/>
      <c r="G462" s="201"/>
      <c r="H462" s="267">
        <v>12131848.35</v>
      </c>
      <c r="I462" s="202"/>
      <c r="J462" s="26"/>
      <c r="K462" s="27"/>
      <c r="L462" s="27"/>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row>
    <row r="463" spans="1:114" s="30" customFormat="1" ht="15.75" customHeight="1">
      <c r="A463" s="282" t="s">
        <v>1104</v>
      </c>
      <c r="B463" s="283"/>
      <c r="C463" s="283"/>
      <c r="D463" s="283"/>
      <c r="E463" s="22"/>
      <c r="F463" s="23"/>
      <c r="G463" s="23"/>
      <c r="H463" s="23">
        <f>SUM(H459:H462)</f>
        <v>387713258.35</v>
      </c>
      <c r="I463" s="23"/>
      <c r="J463" s="26"/>
      <c r="K463" s="27"/>
      <c r="L463" s="27"/>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row>
    <row r="464" spans="1:114" s="30" customFormat="1" ht="15.75" customHeight="1">
      <c r="A464" s="282" t="s">
        <v>425</v>
      </c>
      <c r="B464" s="283"/>
      <c r="C464" s="283"/>
      <c r="D464" s="283"/>
      <c r="E464" s="22"/>
      <c r="F464" s="23">
        <f>F350+F353+F357+F365+F371+F379+F389+F407+F426+F432+F443+F458</f>
        <v>1791302567.0461018</v>
      </c>
      <c r="G464" s="23"/>
      <c r="H464" s="24">
        <f>H350+H353+H357+H365+H367+H371+H373+H379+H384+H389+H398+H407+H417++H426+H432+H443+H452+H456+H458+H463</f>
        <v>29495396775.787506</v>
      </c>
      <c r="I464" s="25"/>
      <c r="J464" s="26"/>
      <c r="K464" s="27"/>
      <c r="L464" s="27"/>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row>
    <row r="465" spans="1:114" s="30" customFormat="1" ht="9.75" customHeight="1">
      <c r="A465" s="182"/>
      <c r="B465" s="90"/>
      <c r="C465" s="91"/>
      <c r="D465" s="90"/>
      <c r="E465" s="91"/>
      <c r="F465" s="93"/>
      <c r="G465" s="94"/>
      <c r="H465" s="93"/>
      <c r="I465" s="172"/>
      <c r="J465" s="26"/>
      <c r="K465" s="43"/>
      <c r="L465" s="27"/>
      <c r="M465" s="27"/>
      <c r="N465" s="27"/>
      <c r="O465" s="27"/>
      <c r="P465" s="27"/>
      <c r="Q465" s="27"/>
      <c r="R465" s="27"/>
      <c r="S465" s="27"/>
      <c r="T465" s="27"/>
      <c r="U465" s="27"/>
      <c r="V465" s="28"/>
      <c r="W465" s="28"/>
      <c r="X465" s="28"/>
      <c r="Y465" s="28"/>
      <c r="Z465" s="28"/>
      <c r="AA465" s="28"/>
      <c r="AB465" s="28"/>
      <c r="AC465" s="28"/>
      <c r="AD465" s="28"/>
      <c r="AE465" s="28"/>
      <c r="AF465" s="28"/>
      <c r="AG465" s="28"/>
      <c r="AH465" s="28"/>
      <c r="AI465" s="28"/>
      <c r="AJ465" s="28"/>
      <c r="AK465" s="28"/>
      <c r="AL465" s="28"/>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row>
    <row r="466" spans="1:114" s="30" customFormat="1" ht="15.75" customHeight="1">
      <c r="A466" s="282" t="s">
        <v>296</v>
      </c>
      <c r="B466" s="283"/>
      <c r="C466" s="283"/>
      <c r="D466" s="283"/>
      <c r="E466" s="22"/>
      <c r="F466" s="23">
        <f>+F345+F464</f>
        <v>1826402567.0461018</v>
      </c>
      <c r="G466" s="23"/>
      <c r="H466" s="24">
        <f>+H345+H464</f>
        <v>29674396775.787506</v>
      </c>
      <c r="I466" s="25"/>
      <c r="J466" s="26"/>
      <c r="K466" s="27"/>
      <c r="L466" s="27"/>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row>
    <row r="467" spans="1:114" s="38" customFormat="1" ht="9.75" customHeight="1" thickBot="1">
      <c r="A467" s="183"/>
      <c r="B467" s="183"/>
      <c r="C467" s="184"/>
      <c r="D467" s="183"/>
      <c r="E467" s="184"/>
      <c r="F467" s="74"/>
      <c r="G467" s="185"/>
      <c r="H467" s="186"/>
      <c r="I467" s="187"/>
      <c r="J467" s="26"/>
      <c r="K467" s="43"/>
      <c r="L467" s="27"/>
      <c r="M467" s="27"/>
      <c r="N467" s="27"/>
      <c r="O467" s="27"/>
      <c r="P467" s="27"/>
      <c r="Q467" s="27"/>
      <c r="R467" s="27"/>
      <c r="S467" s="27"/>
      <c r="T467" s="27"/>
      <c r="U467" s="27"/>
      <c r="V467" s="28"/>
      <c r="W467" s="28"/>
      <c r="X467" s="28"/>
      <c r="Y467" s="28"/>
      <c r="Z467" s="28"/>
      <c r="AA467" s="28"/>
      <c r="AB467" s="28"/>
      <c r="AC467" s="28"/>
      <c r="AD467" s="28"/>
      <c r="AE467" s="28"/>
      <c r="AF467" s="28"/>
      <c r="AG467" s="28"/>
      <c r="AH467" s="28"/>
      <c r="AI467" s="28"/>
      <c r="AJ467" s="28"/>
      <c r="AK467" s="28"/>
      <c r="AL467" s="28"/>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row>
    <row r="468" spans="1:114" s="38" customFormat="1" ht="24.75" customHeight="1" thickBot="1">
      <c r="A468" s="279" t="s">
        <v>499</v>
      </c>
      <c r="B468" s="280"/>
      <c r="C468" s="280"/>
      <c r="D468" s="280"/>
      <c r="E468" s="280"/>
      <c r="F468" s="280"/>
      <c r="G468" s="280"/>
      <c r="H468" s="280"/>
      <c r="I468" s="281"/>
      <c r="J468" s="37"/>
      <c r="K468" s="27"/>
      <c r="L468" s="27"/>
      <c r="M468" s="27"/>
      <c r="N468" s="27"/>
      <c r="O468" s="27"/>
      <c r="P468" s="27"/>
      <c r="Q468" s="27"/>
      <c r="R468" s="27"/>
      <c r="S468" s="27"/>
      <c r="T468" s="27"/>
      <c r="U468" s="27"/>
      <c r="V468" s="28"/>
      <c r="W468" s="28"/>
      <c r="X468" s="28"/>
      <c r="Y468" s="28"/>
      <c r="Z468" s="28"/>
      <c r="AA468" s="28"/>
      <c r="AB468" s="28"/>
      <c r="AC468" s="28"/>
      <c r="AD468" s="28"/>
      <c r="AE468" s="28"/>
      <c r="AF468" s="28"/>
      <c r="AG468" s="28"/>
      <c r="AH468" s="28"/>
      <c r="AI468" s="28"/>
      <c r="AJ468" s="28"/>
      <c r="AK468" s="28"/>
      <c r="AL468" s="28"/>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row>
    <row r="469" spans="1:114" s="38" customFormat="1" ht="6" customHeight="1">
      <c r="A469" s="90"/>
      <c r="B469" s="90"/>
      <c r="C469" s="91"/>
      <c r="D469" s="90"/>
      <c r="E469" s="91"/>
      <c r="F469" s="90"/>
      <c r="G469" s="173"/>
      <c r="H469" s="90"/>
      <c r="I469" s="173"/>
      <c r="J469" s="26"/>
      <c r="K469" s="43"/>
      <c r="L469" s="27"/>
      <c r="M469" s="27"/>
      <c r="N469" s="27"/>
      <c r="O469" s="27"/>
      <c r="P469" s="27"/>
      <c r="Q469" s="27"/>
      <c r="R469" s="27"/>
      <c r="S469" s="27"/>
      <c r="T469" s="27"/>
      <c r="U469" s="27"/>
      <c r="V469" s="28"/>
      <c r="W469" s="28"/>
      <c r="X469" s="28"/>
      <c r="Y469" s="28"/>
      <c r="Z469" s="28"/>
      <c r="AA469" s="28"/>
      <c r="AB469" s="28"/>
      <c r="AC469" s="28"/>
      <c r="AD469" s="28"/>
      <c r="AE469" s="28"/>
      <c r="AF469" s="28"/>
      <c r="AG469" s="28"/>
      <c r="AH469" s="28"/>
      <c r="AI469" s="28"/>
      <c r="AJ469" s="28"/>
      <c r="AK469" s="28"/>
      <c r="AL469" s="28"/>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row>
    <row r="470" spans="1:114" s="42" customFormat="1" ht="15.75" customHeight="1">
      <c r="A470" s="285" t="s">
        <v>500</v>
      </c>
      <c r="B470" s="286"/>
      <c r="C470" s="286"/>
      <c r="D470" s="286"/>
      <c r="E470" s="286"/>
      <c r="F470" s="286"/>
      <c r="G470" s="286"/>
      <c r="H470" s="286"/>
      <c r="I470" s="287"/>
      <c r="J470" s="65"/>
      <c r="K470" s="66"/>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1"/>
      <c r="AN470" s="41"/>
      <c r="AO470" s="41"/>
      <c r="AP470" s="41"/>
      <c r="AQ470" s="41"/>
      <c r="AR470" s="41"/>
      <c r="AS470" s="41"/>
      <c r="AT470" s="41"/>
      <c r="AU470" s="41"/>
      <c r="AV470" s="41"/>
      <c r="AW470" s="41"/>
      <c r="AX470" s="41"/>
      <c r="AY470" s="41"/>
      <c r="AZ470" s="41"/>
      <c r="BA470" s="41"/>
      <c r="BB470" s="41"/>
      <c r="BC470" s="41"/>
      <c r="BD470" s="41"/>
      <c r="BE470" s="41"/>
      <c r="BF470" s="41"/>
      <c r="BG470" s="41"/>
      <c r="BH470" s="41"/>
      <c r="BI470" s="41"/>
      <c r="BJ470" s="41"/>
      <c r="BK470" s="41"/>
      <c r="BL470" s="41"/>
      <c r="BM470" s="41"/>
      <c r="BN470" s="41"/>
      <c r="BO470" s="41"/>
      <c r="BP470" s="41"/>
      <c r="BQ470" s="41"/>
      <c r="BR470" s="41"/>
      <c r="BS470" s="41"/>
      <c r="BT470" s="41"/>
      <c r="BU470" s="41"/>
      <c r="BV470" s="41"/>
      <c r="BW470" s="41"/>
      <c r="BX470" s="41"/>
      <c r="BY470" s="41"/>
      <c r="BZ470" s="41"/>
      <c r="CA470" s="41"/>
      <c r="CB470" s="41"/>
      <c r="CC470" s="41"/>
      <c r="CD470" s="41"/>
      <c r="CE470" s="41"/>
      <c r="CF470" s="41"/>
      <c r="CG470" s="41"/>
      <c r="CH470" s="41"/>
      <c r="CI470" s="41"/>
      <c r="CJ470" s="41"/>
      <c r="CK470" s="41"/>
      <c r="CL470" s="41"/>
      <c r="CM470" s="41"/>
      <c r="CN470" s="41"/>
      <c r="CO470" s="41"/>
      <c r="CP470" s="41"/>
      <c r="CQ470" s="41"/>
      <c r="CR470" s="41"/>
      <c r="CS470" s="41"/>
      <c r="CT470" s="41"/>
      <c r="CU470" s="41"/>
      <c r="CV470" s="41"/>
      <c r="CW470" s="41"/>
      <c r="CX470" s="41"/>
      <c r="CY470" s="41"/>
      <c r="CZ470" s="41"/>
      <c r="DA470" s="41"/>
      <c r="DB470" s="41"/>
      <c r="DC470" s="41"/>
      <c r="DD470" s="41"/>
      <c r="DE470" s="41"/>
      <c r="DF470" s="41"/>
      <c r="DG470" s="41"/>
      <c r="DH470" s="41"/>
      <c r="DI470" s="41"/>
      <c r="DJ470" s="41"/>
    </row>
    <row r="471" spans="1:38" s="41" customFormat="1" ht="15.75" customHeight="1">
      <c r="A471" s="188">
        <f>A462+1</f>
        <v>371</v>
      </c>
      <c r="B471" s="189">
        <v>1</v>
      </c>
      <c r="C471" s="190" t="s">
        <v>280</v>
      </c>
      <c r="D471" s="191" t="s">
        <v>981</v>
      </c>
      <c r="E471" s="190" t="s">
        <v>597</v>
      </c>
      <c r="F471" s="192">
        <v>328000</v>
      </c>
      <c r="G471" s="193"/>
      <c r="H471" s="194">
        <v>2000000</v>
      </c>
      <c r="I471" s="195" t="s">
        <v>696</v>
      </c>
      <c r="J471" s="65"/>
      <c r="K471" s="66"/>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row>
    <row r="472" spans="1:38" s="41" customFormat="1" ht="15.75" customHeight="1">
      <c r="A472" s="196">
        <f>A471+1</f>
        <v>372</v>
      </c>
      <c r="B472" s="197">
        <v>2</v>
      </c>
      <c r="C472" s="198" t="s">
        <v>774</v>
      </c>
      <c r="D472" s="199" t="s">
        <v>801</v>
      </c>
      <c r="E472" s="198" t="s">
        <v>597</v>
      </c>
      <c r="F472" s="200">
        <v>8020000</v>
      </c>
      <c r="G472" s="201"/>
      <c r="H472" s="159">
        <v>400000000</v>
      </c>
      <c r="I472" s="202"/>
      <c r="J472" s="65"/>
      <c r="K472" s="66"/>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row>
    <row r="473" spans="1:114" s="42" customFormat="1" ht="15.75" customHeight="1">
      <c r="A473" s="203" t="s">
        <v>203</v>
      </c>
      <c r="B473" s="204"/>
      <c r="C473" s="205"/>
      <c r="D473" s="204"/>
      <c r="E473" s="205"/>
      <c r="F473" s="206">
        <f>SUM(F471:F472)</f>
        <v>8348000</v>
      </c>
      <c r="G473" s="207"/>
      <c r="H473" s="206">
        <f>SUM(H471:H472)</f>
        <v>402000000</v>
      </c>
      <c r="I473" s="208"/>
      <c r="J473" s="65"/>
      <c r="K473" s="66"/>
      <c r="L473" s="72">
        <v>30000</v>
      </c>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1"/>
      <c r="AN473" s="41"/>
      <c r="AO473" s="41"/>
      <c r="AP473" s="41"/>
      <c r="AQ473" s="41"/>
      <c r="AR473" s="41"/>
      <c r="AS473" s="41"/>
      <c r="AT473" s="41"/>
      <c r="AU473" s="41"/>
      <c r="AV473" s="41"/>
      <c r="AW473" s="41"/>
      <c r="AX473" s="41"/>
      <c r="AY473" s="41"/>
      <c r="AZ473" s="41"/>
      <c r="BA473" s="41"/>
      <c r="BB473" s="41"/>
      <c r="BC473" s="41"/>
      <c r="BD473" s="41"/>
      <c r="BE473" s="41"/>
      <c r="BF473" s="41"/>
      <c r="BG473" s="41"/>
      <c r="BH473" s="41"/>
      <c r="BI473" s="41"/>
      <c r="BJ473" s="41"/>
      <c r="BK473" s="41"/>
      <c r="BL473" s="41"/>
      <c r="BM473" s="41"/>
      <c r="BN473" s="41"/>
      <c r="BO473" s="41"/>
      <c r="BP473" s="41"/>
      <c r="BQ473" s="41"/>
      <c r="BR473" s="41"/>
      <c r="BS473" s="41"/>
      <c r="BT473" s="41"/>
      <c r="BU473" s="41"/>
      <c r="BV473" s="41"/>
      <c r="BW473" s="41"/>
      <c r="BX473" s="41"/>
      <c r="BY473" s="41"/>
      <c r="BZ473" s="41"/>
      <c r="CA473" s="41"/>
      <c r="CB473" s="41"/>
      <c r="CC473" s="41"/>
      <c r="CD473" s="41"/>
      <c r="CE473" s="41"/>
      <c r="CF473" s="41"/>
      <c r="CG473" s="41"/>
      <c r="CH473" s="41"/>
      <c r="CI473" s="41"/>
      <c r="CJ473" s="41"/>
      <c r="CK473" s="41"/>
      <c r="CL473" s="41"/>
      <c r="CM473" s="41"/>
      <c r="CN473" s="41"/>
      <c r="CO473" s="41"/>
      <c r="CP473" s="41"/>
      <c r="CQ473" s="41"/>
      <c r="CR473" s="41"/>
      <c r="CS473" s="41"/>
      <c r="CT473" s="41"/>
      <c r="CU473" s="41"/>
      <c r="CV473" s="41"/>
      <c r="CW473" s="41"/>
      <c r="CX473" s="41"/>
      <c r="CY473" s="41"/>
      <c r="CZ473" s="41"/>
      <c r="DA473" s="41"/>
      <c r="DB473" s="41"/>
      <c r="DC473" s="41"/>
      <c r="DD473" s="41"/>
      <c r="DE473" s="41"/>
      <c r="DF473" s="41"/>
      <c r="DG473" s="41"/>
      <c r="DH473" s="41"/>
      <c r="DI473" s="41"/>
      <c r="DJ473" s="41"/>
    </row>
    <row r="474" spans="1:114" s="42" customFormat="1" ht="9.75" customHeight="1">
      <c r="A474" s="209"/>
      <c r="B474" s="166"/>
      <c r="C474" s="210"/>
      <c r="D474" s="166"/>
      <c r="E474" s="210"/>
      <c r="F474" s="211"/>
      <c r="G474" s="212"/>
      <c r="H474" s="213"/>
      <c r="I474" s="214"/>
      <c r="J474" s="65"/>
      <c r="K474" s="66"/>
      <c r="L474" s="72" t="s">
        <v>332</v>
      </c>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1"/>
      <c r="AN474" s="41"/>
      <c r="AO474" s="41"/>
      <c r="AP474" s="41"/>
      <c r="AQ474" s="41"/>
      <c r="AR474" s="41"/>
      <c r="AS474" s="41"/>
      <c r="AT474" s="41"/>
      <c r="AU474" s="41"/>
      <c r="AV474" s="41"/>
      <c r="AW474" s="41"/>
      <c r="AX474" s="41"/>
      <c r="AY474" s="41"/>
      <c r="AZ474" s="41"/>
      <c r="BA474" s="41"/>
      <c r="BB474" s="41"/>
      <c r="BC474" s="41"/>
      <c r="BD474" s="41"/>
      <c r="BE474" s="41"/>
      <c r="BF474" s="41"/>
      <c r="BG474" s="41"/>
      <c r="BH474" s="41"/>
      <c r="BI474" s="41"/>
      <c r="BJ474" s="41"/>
      <c r="BK474" s="41"/>
      <c r="BL474" s="41"/>
      <c r="BM474" s="41"/>
      <c r="BN474" s="41"/>
      <c r="BO474" s="41"/>
      <c r="BP474" s="41"/>
      <c r="BQ474" s="41"/>
      <c r="BR474" s="41"/>
      <c r="BS474" s="41"/>
      <c r="BT474" s="41"/>
      <c r="BU474" s="41"/>
      <c r="BV474" s="41"/>
      <c r="BW474" s="41"/>
      <c r="BX474" s="41"/>
      <c r="BY474" s="41"/>
      <c r="BZ474" s="41"/>
      <c r="CA474" s="41"/>
      <c r="CB474" s="41"/>
      <c r="CC474" s="41"/>
      <c r="CD474" s="41"/>
      <c r="CE474" s="41"/>
      <c r="CF474" s="41"/>
      <c r="CG474" s="41"/>
      <c r="CH474" s="41"/>
      <c r="CI474" s="41"/>
      <c r="CJ474" s="41"/>
      <c r="CK474" s="41"/>
      <c r="CL474" s="41"/>
      <c r="CM474" s="41"/>
      <c r="CN474" s="41"/>
      <c r="CO474" s="41"/>
      <c r="CP474" s="41"/>
      <c r="CQ474" s="41"/>
      <c r="CR474" s="41"/>
      <c r="CS474" s="41"/>
      <c r="CT474" s="41"/>
      <c r="CU474" s="41"/>
      <c r="CV474" s="41"/>
      <c r="CW474" s="41"/>
      <c r="CX474" s="41"/>
      <c r="CY474" s="41"/>
      <c r="CZ474" s="41"/>
      <c r="DA474" s="41"/>
      <c r="DB474" s="41"/>
      <c r="DC474" s="41"/>
      <c r="DD474" s="41"/>
      <c r="DE474" s="41"/>
      <c r="DF474" s="41"/>
      <c r="DG474" s="41"/>
      <c r="DH474" s="41"/>
      <c r="DI474" s="41"/>
      <c r="DJ474" s="41"/>
    </row>
    <row r="475" spans="1:114" s="42" customFormat="1" ht="15.75" customHeight="1">
      <c r="A475" s="285" t="s">
        <v>501</v>
      </c>
      <c r="B475" s="286"/>
      <c r="C475" s="286"/>
      <c r="D475" s="286"/>
      <c r="E475" s="286"/>
      <c r="F475" s="286"/>
      <c r="G475" s="286"/>
      <c r="H475" s="286"/>
      <c r="I475" s="287"/>
      <c r="J475" s="65"/>
      <c r="K475" s="66"/>
      <c r="L475" s="72">
        <f>10125*4</f>
        <v>40500</v>
      </c>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1"/>
      <c r="AN475" s="41"/>
      <c r="AO475" s="41"/>
      <c r="AP475" s="41"/>
      <c r="AQ475" s="41"/>
      <c r="AR475" s="41"/>
      <c r="AS475" s="41"/>
      <c r="AT475" s="41"/>
      <c r="AU475" s="41"/>
      <c r="AV475" s="41"/>
      <c r="AW475" s="41"/>
      <c r="AX475" s="41"/>
      <c r="AY475" s="41"/>
      <c r="AZ475" s="41"/>
      <c r="BA475" s="41"/>
      <c r="BB475" s="41"/>
      <c r="BC475" s="41"/>
      <c r="BD475" s="41"/>
      <c r="BE475" s="41"/>
      <c r="BF475" s="41"/>
      <c r="BG475" s="41"/>
      <c r="BH475" s="41"/>
      <c r="BI475" s="41"/>
      <c r="BJ475" s="41"/>
      <c r="BK475" s="41"/>
      <c r="BL475" s="41"/>
      <c r="BM475" s="41"/>
      <c r="BN475" s="41"/>
      <c r="BO475" s="41"/>
      <c r="BP475" s="41"/>
      <c r="BQ475" s="41"/>
      <c r="BR475" s="41"/>
      <c r="BS475" s="41"/>
      <c r="BT475" s="41"/>
      <c r="BU475" s="41"/>
      <c r="BV475" s="41"/>
      <c r="BW475" s="41"/>
      <c r="BX475" s="41"/>
      <c r="BY475" s="41"/>
      <c r="BZ475" s="41"/>
      <c r="CA475" s="41"/>
      <c r="CB475" s="41"/>
      <c r="CC475" s="41"/>
      <c r="CD475" s="41"/>
      <c r="CE475" s="41"/>
      <c r="CF475" s="41"/>
      <c r="CG475" s="41"/>
      <c r="CH475" s="41"/>
      <c r="CI475" s="41"/>
      <c r="CJ475" s="41"/>
      <c r="CK475" s="41"/>
      <c r="CL475" s="41"/>
      <c r="CM475" s="41"/>
      <c r="CN475" s="41"/>
      <c r="CO475" s="41"/>
      <c r="CP475" s="41"/>
      <c r="CQ475" s="41"/>
      <c r="CR475" s="41"/>
      <c r="CS475" s="41"/>
      <c r="CT475" s="41"/>
      <c r="CU475" s="41"/>
      <c r="CV475" s="41"/>
      <c r="CW475" s="41"/>
      <c r="CX475" s="41"/>
      <c r="CY475" s="41"/>
      <c r="CZ475" s="41"/>
      <c r="DA475" s="41"/>
      <c r="DB475" s="41"/>
      <c r="DC475" s="41"/>
      <c r="DD475" s="41"/>
      <c r="DE475" s="41"/>
      <c r="DF475" s="41"/>
      <c r="DG475" s="41"/>
      <c r="DH475" s="41"/>
      <c r="DI475" s="41"/>
      <c r="DJ475" s="41"/>
    </row>
    <row r="476" spans="1:114" s="38" customFormat="1" ht="15.75" customHeight="1">
      <c r="A476" s="123">
        <f>1+A472</f>
        <v>373</v>
      </c>
      <c r="B476" s="101">
        <v>1</v>
      </c>
      <c r="C476" s="102" t="s">
        <v>146</v>
      </c>
      <c r="D476" s="103" t="s">
        <v>982</v>
      </c>
      <c r="E476" s="102" t="s">
        <v>597</v>
      </c>
      <c r="F476" s="104">
        <v>2100000</v>
      </c>
      <c r="G476" s="105"/>
      <c r="H476" s="106">
        <v>2450000</v>
      </c>
      <c r="I476" s="107" t="s">
        <v>696</v>
      </c>
      <c r="J476" s="26"/>
      <c r="K476" s="43"/>
      <c r="L476" s="73">
        <f>33750*4</f>
        <v>135000</v>
      </c>
      <c r="M476" s="27"/>
      <c r="N476" s="27"/>
      <c r="O476" s="27"/>
      <c r="P476" s="27"/>
      <c r="Q476" s="27"/>
      <c r="R476" s="27"/>
      <c r="S476" s="27"/>
      <c r="T476" s="27"/>
      <c r="U476" s="27"/>
      <c r="V476" s="28"/>
      <c r="W476" s="28"/>
      <c r="X476" s="28"/>
      <c r="Y476" s="28"/>
      <c r="Z476" s="28"/>
      <c r="AA476" s="28"/>
      <c r="AB476" s="28"/>
      <c r="AC476" s="28"/>
      <c r="AD476" s="28"/>
      <c r="AE476" s="28"/>
      <c r="AF476" s="28"/>
      <c r="AG476" s="28"/>
      <c r="AH476" s="28"/>
      <c r="AI476" s="28"/>
      <c r="AJ476" s="28"/>
      <c r="AK476" s="28"/>
      <c r="AL476" s="28"/>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row>
    <row r="477" spans="1:114" s="47" customFormat="1" ht="15.75" customHeight="1">
      <c r="A477" s="123">
        <f aca="true" t="shared" si="34" ref="A477:A492">+A476+1</f>
        <v>374</v>
      </c>
      <c r="B477" s="101">
        <f aca="true" t="shared" si="35" ref="B477:B492">+B476+1</f>
        <v>2</v>
      </c>
      <c r="C477" s="102" t="s">
        <v>477</v>
      </c>
      <c r="D477" s="103" t="s">
        <v>983</v>
      </c>
      <c r="E477" s="102" t="s">
        <v>597</v>
      </c>
      <c r="F477" s="104">
        <v>57000</v>
      </c>
      <c r="G477" s="105"/>
      <c r="H477" s="106">
        <v>80200</v>
      </c>
      <c r="I477" s="107" t="s">
        <v>696</v>
      </c>
      <c r="J477" s="26"/>
      <c r="K477" s="43"/>
      <c r="L477" s="73"/>
      <c r="M477" s="27"/>
      <c r="N477" s="27"/>
      <c r="O477" s="27"/>
      <c r="P477" s="27"/>
      <c r="Q477" s="27"/>
      <c r="R477" s="27"/>
      <c r="S477" s="27"/>
      <c r="T477" s="27"/>
      <c r="U477" s="27"/>
      <c r="V477" s="28"/>
      <c r="W477" s="28"/>
      <c r="X477" s="28"/>
      <c r="Y477" s="28"/>
      <c r="Z477" s="28"/>
      <c r="AA477" s="28"/>
      <c r="AB477" s="28"/>
      <c r="AC477" s="28"/>
      <c r="AD477" s="28"/>
      <c r="AE477" s="28"/>
      <c r="AF477" s="28"/>
      <c r="AG477" s="28"/>
      <c r="AH477" s="28"/>
      <c r="AI477" s="28"/>
      <c r="AJ477" s="28"/>
      <c r="AK477" s="28"/>
      <c r="AL477" s="28"/>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row>
    <row r="478" spans="1:114" s="45" customFormat="1" ht="15.75" customHeight="1">
      <c r="A478" s="123">
        <f>+A477+1</f>
        <v>375</v>
      </c>
      <c r="B478" s="101">
        <f>+B477+1</f>
        <v>3</v>
      </c>
      <c r="C478" s="102" t="s">
        <v>486</v>
      </c>
      <c r="D478" s="103" t="s">
        <v>984</v>
      </c>
      <c r="E478" s="102" t="s">
        <v>597</v>
      </c>
      <c r="F478" s="104">
        <v>80000</v>
      </c>
      <c r="G478" s="105"/>
      <c r="H478" s="106">
        <v>150000</v>
      </c>
      <c r="I478" s="107" t="s">
        <v>696</v>
      </c>
      <c r="J478" s="26"/>
      <c r="K478" s="43"/>
      <c r="L478" s="73">
        <f>SUM(L473:L477)</f>
        <v>205500</v>
      </c>
      <c r="M478" s="27"/>
      <c r="N478" s="27"/>
      <c r="O478" s="27"/>
      <c r="P478" s="27"/>
      <c r="Q478" s="27"/>
      <c r="R478" s="27"/>
      <c r="S478" s="27"/>
      <c r="T478" s="27"/>
      <c r="U478" s="27"/>
      <c r="V478" s="28"/>
      <c r="W478" s="28"/>
      <c r="X478" s="28"/>
      <c r="Y478" s="28"/>
      <c r="Z478" s="28"/>
      <c r="AA478" s="28"/>
      <c r="AB478" s="28"/>
      <c r="AC478" s="28"/>
      <c r="AD478" s="28"/>
      <c r="AE478" s="28"/>
      <c r="AF478" s="28"/>
      <c r="AG478" s="28"/>
      <c r="AH478" s="28"/>
      <c r="AI478" s="28"/>
      <c r="AJ478" s="28"/>
      <c r="AK478" s="28"/>
      <c r="AL478" s="28"/>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row>
    <row r="479" spans="1:114" s="45" customFormat="1" ht="15.75" customHeight="1">
      <c r="A479" s="123">
        <f t="shared" si="34"/>
        <v>376</v>
      </c>
      <c r="B479" s="101">
        <f t="shared" si="35"/>
        <v>4</v>
      </c>
      <c r="C479" s="102" t="s">
        <v>143</v>
      </c>
      <c r="D479" s="103" t="s">
        <v>985</v>
      </c>
      <c r="E479" s="102" t="s">
        <v>478</v>
      </c>
      <c r="F479" s="104">
        <f>1582420+231140</f>
        <v>1813560</v>
      </c>
      <c r="G479" s="105"/>
      <c r="H479" s="106"/>
      <c r="I479" s="107"/>
      <c r="J479" s="26"/>
      <c r="K479" s="43"/>
      <c r="L479" s="73"/>
      <c r="M479" s="27"/>
      <c r="N479" s="27"/>
      <c r="O479" s="27"/>
      <c r="P479" s="27"/>
      <c r="Q479" s="27"/>
      <c r="R479" s="27"/>
      <c r="S479" s="27"/>
      <c r="T479" s="27"/>
      <c r="U479" s="27"/>
      <c r="V479" s="28"/>
      <c r="W479" s="28"/>
      <c r="X479" s="28"/>
      <c r="Y479" s="28"/>
      <c r="Z479" s="28"/>
      <c r="AA479" s="28"/>
      <c r="AB479" s="28"/>
      <c r="AC479" s="28"/>
      <c r="AD479" s="28"/>
      <c r="AE479" s="28"/>
      <c r="AF479" s="28"/>
      <c r="AG479" s="28"/>
      <c r="AH479" s="28"/>
      <c r="AI479" s="28"/>
      <c r="AJ479" s="28"/>
      <c r="AK479" s="28"/>
      <c r="AL479" s="28"/>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row>
    <row r="480" spans="1:114" s="45" customFormat="1" ht="15.75" customHeight="1">
      <c r="A480" s="123">
        <f t="shared" si="34"/>
        <v>377</v>
      </c>
      <c r="B480" s="101">
        <f t="shared" si="35"/>
        <v>5</v>
      </c>
      <c r="C480" s="102" t="s">
        <v>147</v>
      </c>
      <c r="D480" s="103" t="s">
        <v>986</v>
      </c>
      <c r="E480" s="102" t="s">
        <v>597</v>
      </c>
      <c r="F480" s="104">
        <v>1000020</v>
      </c>
      <c r="G480" s="105"/>
      <c r="H480" s="106"/>
      <c r="I480" s="107"/>
      <c r="J480" s="26"/>
      <c r="K480" s="43"/>
      <c r="L480" s="27"/>
      <c r="M480" s="27"/>
      <c r="N480" s="27"/>
      <c r="O480" s="27"/>
      <c r="P480" s="27"/>
      <c r="Q480" s="27"/>
      <c r="R480" s="27"/>
      <c r="S480" s="27"/>
      <c r="T480" s="27"/>
      <c r="U480" s="27"/>
      <c r="V480" s="28"/>
      <c r="W480" s="28"/>
      <c r="X480" s="28"/>
      <c r="Y480" s="28"/>
      <c r="Z480" s="28"/>
      <c r="AA480" s="28"/>
      <c r="AB480" s="28"/>
      <c r="AC480" s="28"/>
      <c r="AD480" s="28"/>
      <c r="AE480" s="28"/>
      <c r="AF480" s="28"/>
      <c r="AG480" s="28"/>
      <c r="AH480" s="28"/>
      <c r="AI480" s="28"/>
      <c r="AJ480" s="28"/>
      <c r="AK480" s="28"/>
      <c r="AL480" s="28"/>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row>
    <row r="481" spans="1:114" s="45" customFormat="1" ht="15.75" customHeight="1">
      <c r="A481" s="123">
        <f aca="true" t="shared" si="36" ref="A481:B483">+A480+1</f>
        <v>378</v>
      </c>
      <c r="B481" s="101">
        <f t="shared" si="36"/>
        <v>6</v>
      </c>
      <c r="C481" s="102" t="s">
        <v>148</v>
      </c>
      <c r="D481" s="103" t="s">
        <v>987</v>
      </c>
      <c r="E481" s="102" t="s">
        <v>597</v>
      </c>
      <c r="F481" s="104">
        <v>1000000</v>
      </c>
      <c r="G481" s="105"/>
      <c r="H481" s="106">
        <v>3000000</v>
      </c>
      <c r="I481" s="107" t="s">
        <v>696</v>
      </c>
      <c r="J481" s="26"/>
      <c r="K481" s="43"/>
      <c r="L481" s="27"/>
      <c r="M481" s="27"/>
      <c r="N481" s="27"/>
      <c r="O481" s="27"/>
      <c r="P481" s="27"/>
      <c r="Q481" s="27"/>
      <c r="R481" s="27"/>
      <c r="S481" s="27"/>
      <c r="T481" s="27"/>
      <c r="U481" s="27"/>
      <c r="V481" s="28"/>
      <c r="W481" s="28"/>
      <c r="X481" s="28"/>
      <c r="Y481" s="28"/>
      <c r="Z481" s="28"/>
      <c r="AA481" s="28"/>
      <c r="AB481" s="28"/>
      <c r="AC481" s="28"/>
      <c r="AD481" s="28"/>
      <c r="AE481" s="28"/>
      <c r="AF481" s="28"/>
      <c r="AG481" s="28"/>
      <c r="AH481" s="28"/>
      <c r="AI481" s="28"/>
      <c r="AJ481" s="28"/>
      <c r="AK481" s="28"/>
      <c r="AL481" s="28"/>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row>
    <row r="482" spans="1:114" s="53" customFormat="1" ht="15.75" customHeight="1">
      <c r="A482" s="123">
        <f t="shared" si="36"/>
        <v>379</v>
      </c>
      <c r="B482" s="101">
        <f t="shared" si="36"/>
        <v>7</v>
      </c>
      <c r="C482" s="102" t="s">
        <v>450</v>
      </c>
      <c r="D482" s="103" t="s">
        <v>988</v>
      </c>
      <c r="E482" s="102" t="s">
        <v>597</v>
      </c>
      <c r="F482" s="104">
        <f>1000000.2/2</f>
        <v>500000.1</v>
      </c>
      <c r="G482" s="105"/>
      <c r="H482" s="106">
        <v>2000000</v>
      </c>
      <c r="I482" s="107" t="s">
        <v>696</v>
      </c>
      <c r="J482" s="26"/>
      <c r="K482" s="43"/>
      <c r="L482" s="27"/>
      <c r="M482" s="27"/>
      <c r="N482" s="27"/>
      <c r="O482" s="27"/>
      <c r="P482" s="27"/>
      <c r="Q482" s="27"/>
      <c r="R482" s="27"/>
      <c r="S482" s="27"/>
      <c r="T482" s="27"/>
      <c r="U482" s="27"/>
      <c r="V482" s="28"/>
      <c r="W482" s="28"/>
      <c r="X482" s="28"/>
      <c r="Y482" s="28"/>
      <c r="Z482" s="28"/>
      <c r="AA482" s="28"/>
      <c r="AB482" s="28"/>
      <c r="AC482" s="28"/>
      <c r="AD482" s="28"/>
      <c r="AE482" s="28"/>
      <c r="AF482" s="28"/>
      <c r="AG482" s="28"/>
      <c r="AH482" s="28"/>
      <c r="AI482" s="28"/>
      <c r="AJ482" s="28"/>
      <c r="AK482" s="28"/>
      <c r="AL482" s="28"/>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row>
    <row r="483" spans="1:114" s="30" customFormat="1" ht="15.75" customHeight="1">
      <c r="A483" s="123">
        <f t="shared" si="36"/>
        <v>380</v>
      </c>
      <c r="B483" s="101">
        <f t="shared" si="36"/>
        <v>8</v>
      </c>
      <c r="C483" s="102" t="s">
        <v>489</v>
      </c>
      <c r="D483" s="103" t="s">
        <v>989</v>
      </c>
      <c r="E483" s="102" t="s">
        <v>597</v>
      </c>
      <c r="F483" s="104">
        <v>20000</v>
      </c>
      <c r="G483" s="105"/>
      <c r="H483" s="106"/>
      <c r="I483" s="107"/>
      <c r="J483" s="26"/>
      <c r="K483" s="43"/>
      <c r="L483" s="27"/>
      <c r="M483" s="27"/>
      <c r="N483" s="27"/>
      <c r="O483" s="27"/>
      <c r="P483" s="27"/>
      <c r="Q483" s="27"/>
      <c r="R483" s="27"/>
      <c r="S483" s="27"/>
      <c r="T483" s="27"/>
      <c r="U483" s="27"/>
      <c r="V483" s="28"/>
      <c r="W483" s="28"/>
      <c r="X483" s="28"/>
      <c r="Y483" s="28"/>
      <c r="Z483" s="28"/>
      <c r="AA483" s="28"/>
      <c r="AB483" s="28"/>
      <c r="AC483" s="28"/>
      <c r="AD483" s="28"/>
      <c r="AE483" s="28"/>
      <c r="AF483" s="28"/>
      <c r="AG483" s="28"/>
      <c r="AH483" s="28"/>
      <c r="AI483" s="28"/>
      <c r="AJ483" s="28"/>
      <c r="AK483" s="28"/>
      <c r="AL483" s="28"/>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row>
    <row r="484" spans="1:115" s="52" customFormat="1" ht="15.75" customHeight="1">
      <c r="A484" s="123">
        <f t="shared" si="34"/>
        <v>381</v>
      </c>
      <c r="B484" s="101">
        <f t="shared" si="35"/>
        <v>9</v>
      </c>
      <c r="C484" s="102" t="s">
        <v>489</v>
      </c>
      <c r="D484" s="103" t="s">
        <v>990</v>
      </c>
      <c r="E484" s="102" t="s">
        <v>597</v>
      </c>
      <c r="F484" s="104">
        <v>14000</v>
      </c>
      <c r="G484" s="105"/>
      <c r="H484" s="106"/>
      <c r="I484" s="107"/>
      <c r="J484" s="26"/>
      <c r="K484" s="43"/>
      <c r="L484" s="27"/>
      <c r="M484" s="27"/>
      <c r="N484" s="27"/>
      <c r="O484" s="27"/>
      <c r="P484" s="27"/>
      <c r="Q484" s="27"/>
      <c r="R484" s="27"/>
      <c r="S484" s="27"/>
      <c r="T484" s="27"/>
      <c r="U484" s="27"/>
      <c r="V484" s="28"/>
      <c r="W484" s="28"/>
      <c r="X484" s="28"/>
      <c r="Y484" s="28"/>
      <c r="Z484" s="28"/>
      <c r="AA484" s="28"/>
      <c r="AB484" s="28"/>
      <c r="AC484" s="28"/>
      <c r="AD484" s="28"/>
      <c r="AE484" s="28"/>
      <c r="AF484" s="28"/>
      <c r="AG484" s="28"/>
      <c r="AH484" s="28"/>
      <c r="AI484" s="28"/>
      <c r="AJ484" s="28"/>
      <c r="AK484" s="28"/>
      <c r="AL484" s="28"/>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51"/>
    </row>
    <row r="485" spans="1:115" s="56" customFormat="1" ht="15.75" customHeight="1">
      <c r="A485" s="123">
        <f t="shared" si="34"/>
        <v>382</v>
      </c>
      <c r="B485" s="101">
        <f t="shared" si="35"/>
        <v>10</v>
      </c>
      <c r="C485" s="102" t="s">
        <v>489</v>
      </c>
      <c r="D485" s="103" t="s">
        <v>991</v>
      </c>
      <c r="E485" s="102" t="s">
        <v>597</v>
      </c>
      <c r="F485" s="104">
        <f>14000</f>
        <v>14000</v>
      </c>
      <c r="G485" s="105"/>
      <c r="H485" s="106"/>
      <c r="I485" s="107"/>
      <c r="J485" s="26"/>
      <c r="K485" s="43"/>
      <c r="L485" s="27"/>
      <c r="M485" s="27"/>
      <c r="N485" s="27"/>
      <c r="O485" s="27"/>
      <c r="P485" s="27"/>
      <c r="Q485" s="27"/>
      <c r="R485" s="27"/>
      <c r="S485" s="27"/>
      <c r="T485" s="27"/>
      <c r="U485" s="27"/>
      <c r="V485" s="28"/>
      <c r="W485" s="28"/>
      <c r="X485" s="28"/>
      <c r="Y485" s="28"/>
      <c r="Z485" s="28"/>
      <c r="AA485" s="28"/>
      <c r="AB485" s="28"/>
      <c r="AC485" s="28"/>
      <c r="AD485" s="28"/>
      <c r="AE485" s="28"/>
      <c r="AF485" s="28"/>
      <c r="AG485" s="28"/>
      <c r="AH485" s="28"/>
      <c r="AI485" s="28"/>
      <c r="AJ485" s="28"/>
      <c r="AK485" s="28"/>
      <c r="AL485" s="28"/>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55"/>
    </row>
    <row r="486" spans="1:115" s="52" customFormat="1" ht="15.75" customHeight="1">
      <c r="A486" s="123">
        <f t="shared" si="34"/>
        <v>383</v>
      </c>
      <c r="B486" s="101">
        <f t="shared" si="35"/>
        <v>11</v>
      </c>
      <c r="C486" s="102" t="s">
        <v>489</v>
      </c>
      <c r="D486" s="103" t="s">
        <v>992</v>
      </c>
      <c r="E486" s="102" t="s">
        <v>597</v>
      </c>
      <c r="F486" s="104">
        <f>10000</f>
        <v>10000</v>
      </c>
      <c r="G486" s="105"/>
      <c r="H486" s="106"/>
      <c r="I486" s="107"/>
      <c r="J486" s="26"/>
      <c r="K486" s="43"/>
      <c r="L486" s="27"/>
      <c r="M486" s="27"/>
      <c r="N486" s="27"/>
      <c r="O486" s="27"/>
      <c r="P486" s="27"/>
      <c r="Q486" s="27"/>
      <c r="R486" s="27"/>
      <c r="S486" s="27"/>
      <c r="T486" s="27"/>
      <c r="U486" s="27"/>
      <c r="V486" s="28"/>
      <c r="W486" s="28"/>
      <c r="X486" s="28"/>
      <c r="Y486" s="28"/>
      <c r="Z486" s="28"/>
      <c r="AA486" s="28"/>
      <c r="AB486" s="28"/>
      <c r="AC486" s="28"/>
      <c r="AD486" s="28"/>
      <c r="AE486" s="28"/>
      <c r="AF486" s="28"/>
      <c r="AG486" s="28"/>
      <c r="AH486" s="28"/>
      <c r="AI486" s="28"/>
      <c r="AJ486" s="28"/>
      <c r="AK486" s="28"/>
      <c r="AL486" s="28"/>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51"/>
    </row>
    <row r="487" spans="1:115" s="52" customFormat="1" ht="15.75" customHeight="1">
      <c r="A487" s="123">
        <f t="shared" si="34"/>
        <v>384</v>
      </c>
      <c r="B487" s="101">
        <f t="shared" si="35"/>
        <v>12</v>
      </c>
      <c r="C487" s="102" t="s">
        <v>493</v>
      </c>
      <c r="D487" s="103" t="s">
        <v>993</v>
      </c>
      <c r="E487" s="102" t="s">
        <v>597</v>
      </c>
      <c r="F487" s="104">
        <f>76000</f>
        <v>76000</v>
      </c>
      <c r="G487" s="105"/>
      <c r="H487" s="106"/>
      <c r="I487" s="107"/>
      <c r="J487" s="26"/>
      <c r="K487" s="43"/>
      <c r="L487" s="27"/>
      <c r="M487" s="27"/>
      <c r="N487" s="27"/>
      <c r="O487" s="27"/>
      <c r="P487" s="27"/>
      <c r="Q487" s="27"/>
      <c r="R487" s="27"/>
      <c r="S487" s="27"/>
      <c r="T487" s="27"/>
      <c r="U487" s="27"/>
      <c r="V487" s="28"/>
      <c r="W487" s="28"/>
      <c r="X487" s="28"/>
      <c r="Y487" s="28"/>
      <c r="Z487" s="28"/>
      <c r="AA487" s="28"/>
      <c r="AB487" s="28"/>
      <c r="AC487" s="28"/>
      <c r="AD487" s="28"/>
      <c r="AE487" s="28"/>
      <c r="AF487" s="28"/>
      <c r="AG487" s="28"/>
      <c r="AH487" s="28"/>
      <c r="AI487" s="28"/>
      <c r="AJ487" s="28"/>
      <c r="AK487" s="28"/>
      <c r="AL487" s="28"/>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51"/>
    </row>
    <row r="488" spans="1:115" s="52" customFormat="1" ht="15.75" customHeight="1">
      <c r="A488" s="123">
        <f t="shared" si="34"/>
        <v>385</v>
      </c>
      <c r="B488" s="101">
        <f t="shared" si="35"/>
        <v>13</v>
      </c>
      <c r="C488" s="102" t="s">
        <v>493</v>
      </c>
      <c r="D488" s="103" t="s">
        <v>994</v>
      </c>
      <c r="E488" s="102" t="s">
        <v>597</v>
      </c>
      <c r="F488" s="104">
        <f>25000</f>
        <v>25000</v>
      </c>
      <c r="G488" s="105"/>
      <c r="H488" s="106"/>
      <c r="I488" s="107"/>
      <c r="J488" s="26"/>
      <c r="K488" s="43"/>
      <c r="L488" s="27"/>
      <c r="M488" s="27"/>
      <c r="N488" s="27"/>
      <c r="O488" s="27"/>
      <c r="P488" s="27"/>
      <c r="Q488" s="27"/>
      <c r="R488" s="27"/>
      <c r="S488" s="27"/>
      <c r="T488" s="27"/>
      <c r="U488" s="27"/>
      <c r="V488" s="28"/>
      <c r="W488" s="28"/>
      <c r="X488" s="28"/>
      <c r="Y488" s="28"/>
      <c r="Z488" s="28"/>
      <c r="AA488" s="28"/>
      <c r="AB488" s="28"/>
      <c r="AC488" s="28"/>
      <c r="AD488" s="28"/>
      <c r="AE488" s="28"/>
      <c r="AF488" s="28"/>
      <c r="AG488" s="28"/>
      <c r="AH488" s="28"/>
      <c r="AI488" s="28"/>
      <c r="AJ488" s="28"/>
      <c r="AK488" s="28"/>
      <c r="AL488" s="28"/>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51"/>
    </row>
    <row r="489" spans="1:115" s="52" customFormat="1" ht="15.75" customHeight="1">
      <c r="A489" s="123">
        <f t="shared" si="34"/>
        <v>386</v>
      </c>
      <c r="B489" s="101">
        <f t="shared" si="35"/>
        <v>14</v>
      </c>
      <c r="C489" s="102" t="s">
        <v>531</v>
      </c>
      <c r="D489" s="103" t="s">
        <v>995</v>
      </c>
      <c r="E489" s="102" t="s">
        <v>597</v>
      </c>
      <c r="F489" s="104">
        <f>101000</f>
        <v>101000</v>
      </c>
      <c r="G489" s="105"/>
      <c r="H489" s="106">
        <v>450000</v>
      </c>
      <c r="I489" s="107" t="s">
        <v>696</v>
      </c>
      <c r="J489" s="26"/>
      <c r="K489" s="43"/>
      <c r="L489" s="27"/>
      <c r="M489" s="27"/>
      <c r="N489" s="27"/>
      <c r="O489" s="27"/>
      <c r="P489" s="27"/>
      <c r="Q489" s="27"/>
      <c r="R489" s="27"/>
      <c r="S489" s="27"/>
      <c r="T489" s="27"/>
      <c r="U489" s="27"/>
      <c r="V489" s="28"/>
      <c r="W489" s="28"/>
      <c r="X489" s="28"/>
      <c r="Y489" s="28"/>
      <c r="Z489" s="28"/>
      <c r="AA489" s="28"/>
      <c r="AB489" s="28"/>
      <c r="AC489" s="28"/>
      <c r="AD489" s="28"/>
      <c r="AE489" s="28"/>
      <c r="AF489" s="28"/>
      <c r="AG489" s="28"/>
      <c r="AH489" s="28"/>
      <c r="AI489" s="28"/>
      <c r="AJ489" s="28"/>
      <c r="AK489" s="28"/>
      <c r="AL489" s="28"/>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51"/>
    </row>
    <row r="490" spans="1:115" s="62" customFormat="1" ht="15.75" customHeight="1">
      <c r="A490" s="123">
        <f t="shared" si="34"/>
        <v>387</v>
      </c>
      <c r="B490" s="101">
        <f t="shared" si="35"/>
        <v>15</v>
      </c>
      <c r="C490" s="102" t="s">
        <v>493</v>
      </c>
      <c r="D490" s="103" t="s">
        <v>996</v>
      </c>
      <c r="E490" s="102" t="s">
        <v>597</v>
      </c>
      <c r="F490" s="104">
        <f>3000+6000</f>
        <v>9000</v>
      </c>
      <c r="G490" s="105"/>
      <c r="H490" s="106"/>
      <c r="I490" s="107"/>
      <c r="J490" s="26"/>
      <c r="K490" s="43"/>
      <c r="L490" s="27"/>
      <c r="M490" s="27"/>
      <c r="N490" s="27"/>
      <c r="O490" s="27"/>
      <c r="P490" s="27"/>
      <c r="Q490" s="27"/>
      <c r="R490" s="27"/>
      <c r="S490" s="27"/>
      <c r="T490" s="27"/>
      <c r="U490" s="27"/>
      <c r="V490" s="28"/>
      <c r="W490" s="28"/>
      <c r="X490" s="28"/>
      <c r="Y490" s="28"/>
      <c r="Z490" s="28"/>
      <c r="AA490" s="28"/>
      <c r="AB490" s="28"/>
      <c r="AC490" s="28"/>
      <c r="AD490" s="28"/>
      <c r="AE490" s="28"/>
      <c r="AF490" s="28"/>
      <c r="AG490" s="28"/>
      <c r="AH490" s="28"/>
      <c r="AI490" s="28"/>
      <c r="AJ490" s="28"/>
      <c r="AK490" s="28"/>
      <c r="AL490" s="28"/>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61"/>
    </row>
    <row r="491" spans="1:115" s="62" customFormat="1" ht="15.75" customHeight="1">
      <c r="A491" s="123">
        <f>+A490+1</f>
        <v>388</v>
      </c>
      <c r="B491" s="101">
        <f>+B490+1</f>
        <v>16</v>
      </c>
      <c r="C491" s="102" t="s">
        <v>547</v>
      </c>
      <c r="D491" s="103" t="s">
        <v>997</v>
      </c>
      <c r="E491" s="102" t="s">
        <v>597</v>
      </c>
      <c r="F491" s="104">
        <f>55010*0.2/2</f>
        <v>5501</v>
      </c>
      <c r="G491" s="105"/>
      <c r="H491" s="106"/>
      <c r="I491" s="107"/>
      <c r="J491" s="26"/>
      <c r="K491" s="43"/>
      <c r="L491" s="27"/>
      <c r="M491" s="27"/>
      <c r="N491" s="27"/>
      <c r="O491" s="27"/>
      <c r="P491" s="27"/>
      <c r="Q491" s="27"/>
      <c r="R491" s="27"/>
      <c r="S491" s="27"/>
      <c r="T491" s="27"/>
      <c r="U491" s="27"/>
      <c r="V491" s="28"/>
      <c r="W491" s="28"/>
      <c r="X491" s="28"/>
      <c r="Y491" s="28"/>
      <c r="Z491" s="28"/>
      <c r="AA491" s="28"/>
      <c r="AB491" s="28"/>
      <c r="AC491" s="28"/>
      <c r="AD491" s="28"/>
      <c r="AE491" s="28"/>
      <c r="AF491" s="28"/>
      <c r="AG491" s="28"/>
      <c r="AH491" s="28"/>
      <c r="AI491" s="28"/>
      <c r="AJ491" s="28"/>
      <c r="AK491" s="28"/>
      <c r="AL491" s="28"/>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61"/>
    </row>
    <row r="492" spans="1:115" s="62" customFormat="1" ht="15.75" customHeight="1">
      <c r="A492" s="123">
        <f t="shared" si="34"/>
        <v>389</v>
      </c>
      <c r="B492" s="101">
        <f t="shared" si="35"/>
        <v>17</v>
      </c>
      <c r="C492" s="102" t="s">
        <v>548</v>
      </c>
      <c r="D492" s="103" t="s">
        <v>998</v>
      </c>
      <c r="E492" s="102" t="s">
        <v>597</v>
      </c>
      <c r="F492" s="104">
        <f>31000+7750*2</f>
        <v>46500</v>
      </c>
      <c r="G492" s="105"/>
      <c r="H492" s="106"/>
      <c r="I492" s="107"/>
      <c r="J492" s="26"/>
      <c r="K492" s="43"/>
      <c r="L492" s="27"/>
      <c r="M492" s="27"/>
      <c r="N492" s="27"/>
      <c r="O492" s="27"/>
      <c r="P492" s="27"/>
      <c r="Q492" s="27"/>
      <c r="R492" s="27"/>
      <c r="S492" s="27"/>
      <c r="T492" s="27"/>
      <c r="U492" s="27"/>
      <c r="V492" s="28"/>
      <c r="W492" s="28"/>
      <c r="X492" s="28"/>
      <c r="Y492" s="28"/>
      <c r="Z492" s="28"/>
      <c r="AA492" s="28"/>
      <c r="AB492" s="28"/>
      <c r="AC492" s="28"/>
      <c r="AD492" s="28"/>
      <c r="AE492" s="28"/>
      <c r="AF492" s="28"/>
      <c r="AG492" s="28"/>
      <c r="AH492" s="28"/>
      <c r="AI492" s="28"/>
      <c r="AJ492" s="28"/>
      <c r="AK492" s="28"/>
      <c r="AL492" s="28"/>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61"/>
    </row>
    <row r="493" spans="1:114" s="30" customFormat="1" ht="15.75" customHeight="1">
      <c r="A493" s="123">
        <f>A492+1</f>
        <v>390</v>
      </c>
      <c r="B493" s="101">
        <f>+B495+1</f>
        <v>19</v>
      </c>
      <c r="C493" s="102" t="s">
        <v>549</v>
      </c>
      <c r="D493" s="103" t="s">
        <v>1000</v>
      </c>
      <c r="E493" s="102" t="s">
        <v>597</v>
      </c>
      <c r="F493" s="104">
        <f>20100.5+5025.12+5025.12+5025.12+5025.12+5025.12</f>
        <v>45226.100000000006</v>
      </c>
      <c r="G493" s="105"/>
      <c r="H493" s="106"/>
      <c r="I493" s="107"/>
      <c r="J493" s="26"/>
      <c r="K493" s="43"/>
      <c r="L493" s="27"/>
      <c r="M493" s="27"/>
      <c r="N493" s="27"/>
      <c r="O493" s="27"/>
      <c r="P493" s="27"/>
      <c r="Q493" s="27"/>
      <c r="R493" s="27"/>
      <c r="S493" s="27"/>
      <c r="T493" s="27"/>
      <c r="U493" s="27"/>
      <c r="V493" s="28"/>
      <c r="W493" s="28"/>
      <c r="X493" s="28"/>
      <c r="Y493" s="28"/>
      <c r="Z493" s="28"/>
      <c r="AA493" s="28"/>
      <c r="AB493" s="28"/>
      <c r="AC493" s="28"/>
      <c r="AD493" s="28"/>
      <c r="AE493" s="28"/>
      <c r="AF493" s="28"/>
      <c r="AG493" s="28"/>
      <c r="AH493" s="28"/>
      <c r="AI493" s="28"/>
      <c r="AJ493" s="28"/>
      <c r="AK493" s="28"/>
      <c r="AL493" s="28"/>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row>
    <row r="494" spans="1:115" s="56" customFormat="1" ht="15.75" customHeight="1">
      <c r="A494" s="123">
        <f>+A493+1</f>
        <v>391</v>
      </c>
      <c r="B494" s="101">
        <f>+B493+1</f>
        <v>20</v>
      </c>
      <c r="C494" s="102" t="s">
        <v>548</v>
      </c>
      <c r="D494" s="103" t="s">
        <v>1001</v>
      </c>
      <c r="E494" s="102" t="s">
        <v>597</v>
      </c>
      <c r="F494" s="104">
        <f>36000+9000*4+9000*4</f>
        <v>108000</v>
      </c>
      <c r="G494" s="105"/>
      <c r="H494" s="106"/>
      <c r="I494" s="107"/>
      <c r="J494" s="26"/>
      <c r="K494" s="43"/>
      <c r="L494" s="27"/>
      <c r="M494" s="27"/>
      <c r="N494" s="27"/>
      <c r="O494" s="27"/>
      <c r="P494" s="27"/>
      <c r="Q494" s="27"/>
      <c r="R494" s="27"/>
      <c r="S494" s="27"/>
      <c r="T494" s="27"/>
      <c r="U494" s="27"/>
      <c r="V494" s="28"/>
      <c r="W494" s="28"/>
      <c r="X494" s="28"/>
      <c r="Y494" s="28"/>
      <c r="Z494" s="28"/>
      <c r="AA494" s="28"/>
      <c r="AB494" s="28"/>
      <c r="AC494" s="28"/>
      <c r="AD494" s="28"/>
      <c r="AE494" s="28"/>
      <c r="AF494" s="28"/>
      <c r="AG494" s="28"/>
      <c r="AH494" s="28"/>
      <c r="AI494" s="28"/>
      <c r="AJ494" s="28"/>
      <c r="AK494" s="28"/>
      <c r="AL494" s="28"/>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55"/>
    </row>
    <row r="495" spans="1:38" s="29" customFormat="1" ht="15.75" customHeight="1">
      <c r="A495" s="123">
        <f>A494+1</f>
        <v>392</v>
      </c>
      <c r="B495" s="101">
        <f>+B492+1</f>
        <v>18</v>
      </c>
      <c r="C495" s="102" t="s">
        <v>162</v>
      </c>
      <c r="D495" s="103" t="s">
        <v>999</v>
      </c>
      <c r="E495" s="102" t="s">
        <v>597</v>
      </c>
      <c r="F495" s="104">
        <v>7000000</v>
      </c>
      <c r="G495" s="105"/>
      <c r="H495" s="106">
        <f>25000000+3000000</f>
        <v>28000000</v>
      </c>
      <c r="I495" s="107" t="s">
        <v>696</v>
      </c>
      <c r="J495" s="26"/>
      <c r="K495" s="43"/>
      <c r="L495" s="27"/>
      <c r="M495" s="27"/>
      <c r="N495" s="27"/>
      <c r="O495" s="27"/>
      <c r="P495" s="27"/>
      <c r="Q495" s="27"/>
      <c r="R495" s="27"/>
      <c r="S495" s="27"/>
      <c r="T495" s="27"/>
      <c r="U495" s="27"/>
      <c r="V495" s="28"/>
      <c r="W495" s="28"/>
      <c r="X495" s="28"/>
      <c r="Y495" s="28"/>
      <c r="Z495" s="28"/>
      <c r="AA495" s="28"/>
      <c r="AB495" s="28"/>
      <c r="AC495" s="28"/>
      <c r="AD495" s="28"/>
      <c r="AE495" s="28"/>
      <c r="AF495" s="28"/>
      <c r="AG495" s="28"/>
      <c r="AH495" s="28"/>
      <c r="AI495" s="28"/>
      <c r="AJ495" s="28"/>
      <c r="AK495" s="28"/>
      <c r="AL495" s="28"/>
    </row>
    <row r="496" spans="1:114" s="30" customFormat="1" ht="15.75" customHeight="1">
      <c r="A496" s="126">
        <f>A495+1</f>
        <v>393</v>
      </c>
      <c r="B496" s="127">
        <v>21</v>
      </c>
      <c r="C496" s="128" t="s">
        <v>183</v>
      </c>
      <c r="D496" s="129" t="s">
        <v>1002</v>
      </c>
      <c r="E496" s="128" t="s">
        <v>596</v>
      </c>
      <c r="F496" s="130">
        <f>30000+10125*4+33750*4</f>
        <v>205500</v>
      </c>
      <c r="G496" s="131"/>
      <c r="H496" s="132">
        <v>100000</v>
      </c>
      <c r="I496" s="134" t="s">
        <v>696</v>
      </c>
      <c r="J496" s="26"/>
      <c r="K496" s="43"/>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row>
    <row r="497" spans="1:114" s="53" customFormat="1" ht="19.5" customHeight="1">
      <c r="A497" s="215" t="s">
        <v>294</v>
      </c>
      <c r="B497" s="169"/>
      <c r="C497" s="170"/>
      <c r="D497" s="169"/>
      <c r="E497" s="170"/>
      <c r="F497" s="163">
        <f>SUM(F476:F496)</f>
        <v>14230307.2</v>
      </c>
      <c r="G497" s="163"/>
      <c r="H497" s="163">
        <f>SUM(H476:H496)</f>
        <v>36230200</v>
      </c>
      <c r="I497" s="171"/>
      <c r="J497" s="26"/>
      <c r="K497" s="43"/>
      <c r="L497" s="27"/>
      <c r="M497" s="27"/>
      <c r="N497" s="27"/>
      <c r="O497" s="27"/>
      <c r="P497" s="27"/>
      <c r="Q497" s="27"/>
      <c r="R497" s="27"/>
      <c r="S497" s="27"/>
      <c r="T497" s="27"/>
      <c r="U497" s="27"/>
      <c r="V497" s="28"/>
      <c r="W497" s="28"/>
      <c r="X497" s="28"/>
      <c r="Y497" s="28"/>
      <c r="Z497" s="28"/>
      <c r="AA497" s="28"/>
      <c r="AB497" s="28"/>
      <c r="AC497" s="28"/>
      <c r="AD497" s="28"/>
      <c r="AE497" s="28"/>
      <c r="AF497" s="28"/>
      <c r="AG497" s="28"/>
      <c r="AH497" s="28"/>
      <c r="AI497" s="28"/>
      <c r="AJ497" s="28"/>
      <c r="AK497" s="28"/>
      <c r="AL497" s="28"/>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row>
    <row r="498" spans="1:114" s="30" customFormat="1" ht="9.75" customHeight="1" thickBot="1">
      <c r="A498" s="216"/>
      <c r="B498" s="183"/>
      <c r="C498" s="184"/>
      <c r="D498" s="183"/>
      <c r="E498" s="184"/>
      <c r="F498" s="74"/>
      <c r="G498" s="185"/>
      <c r="H498" s="74"/>
      <c r="I498" s="187"/>
      <c r="J498" s="26"/>
      <c r="K498" s="43"/>
      <c r="L498" s="27"/>
      <c r="M498" s="27"/>
      <c r="N498" s="27"/>
      <c r="O498" s="27"/>
      <c r="P498" s="27"/>
      <c r="Q498" s="27"/>
      <c r="R498" s="27"/>
      <c r="S498" s="27"/>
      <c r="T498" s="27"/>
      <c r="U498" s="27"/>
      <c r="V498" s="28"/>
      <c r="W498" s="28"/>
      <c r="X498" s="28"/>
      <c r="Y498" s="28"/>
      <c r="Z498" s="28"/>
      <c r="AA498" s="28"/>
      <c r="AB498" s="28"/>
      <c r="AC498" s="28"/>
      <c r="AD498" s="28"/>
      <c r="AE498" s="28"/>
      <c r="AF498" s="28"/>
      <c r="AG498" s="28"/>
      <c r="AH498" s="28"/>
      <c r="AI498" s="28"/>
      <c r="AJ498" s="28"/>
      <c r="AK498" s="28"/>
      <c r="AL498" s="28"/>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row>
    <row r="499" spans="1:114" s="38" customFormat="1" ht="24.75" customHeight="1" thickBot="1">
      <c r="A499" s="279" t="s">
        <v>498</v>
      </c>
      <c r="B499" s="280"/>
      <c r="C499" s="280"/>
      <c r="D499" s="280"/>
      <c r="E499" s="280"/>
      <c r="F499" s="280"/>
      <c r="G499" s="280"/>
      <c r="H499" s="280"/>
      <c r="I499" s="281"/>
      <c r="J499" s="37"/>
      <c r="K499" s="27"/>
      <c r="L499" s="27"/>
      <c r="M499" s="27"/>
      <c r="N499" s="27"/>
      <c r="O499" s="27"/>
      <c r="P499" s="27"/>
      <c r="Q499" s="27"/>
      <c r="R499" s="27"/>
      <c r="S499" s="27"/>
      <c r="T499" s="27"/>
      <c r="U499" s="27"/>
      <c r="V499" s="28"/>
      <c r="W499" s="28"/>
      <c r="X499" s="28"/>
      <c r="Y499" s="28"/>
      <c r="Z499" s="28"/>
      <c r="AA499" s="28"/>
      <c r="AB499" s="28"/>
      <c r="AC499" s="28"/>
      <c r="AD499" s="28"/>
      <c r="AE499" s="28"/>
      <c r="AF499" s="28"/>
      <c r="AG499" s="28"/>
      <c r="AH499" s="28"/>
      <c r="AI499" s="28"/>
      <c r="AJ499" s="28"/>
      <c r="AK499" s="28"/>
      <c r="AL499" s="28"/>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row>
    <row r="500" spans="7:10" s="90" customFormat="1" ht="6.75" customHeight="1">
      <c r="G500" s="173"/>
      <c r="I500" s="173"/>
      <c r="J500" s="217"/>
    </row>
    <row r="501" spans="1:114" s="38" customFormat="1" ht="15.75" customHeight="1">
      <c r="A501" s="75">
        <f>A496+1</f>
        <v>394</v>
      </c>
      <c r="B501" s="76">
        <v>1</v>
      </c>
      <c r="C501" s="77" t="s">
        <v>734</v>
      </c>
      <c r="D501" s="78" t="s">
        <v>1003</v>
      </c>
      <c r="E501" s="77" t="s">
        <v>633</v>
      </c>
      <c r="F501" s="98">
        <v>610752289</v>
      </c>
      <c r="G501" s="99"/>
      <c r="H501" s="79"/>
      <c r="I501" s="81"/>
      <c r="J501" s="26"/>
      <c r="K501" s="43"/>
      <c r="L501" s="27"/>
      <c r="M501" s="27"/>
      <c r="N501" s="27"/>
      <c r="O501" s="27"/>
      <c r="P501" s="27"/>
      <c r="Q501" s="27"/>
      <c r="R501" s="27"/>
      <c r="S501" s="27"/>
      <c r="T501" s="27"/>
      <c r="U501" s="27"/>
      <c r="V501" s="28"/>
      <c r="W501" s="28"/>
      <c r="X501" s="28"/>
      <c r="Y501" s="28"/>
      <c r="Z501" s="28"/>
      <c r="AA501" s="28"/>
      <c r="AB501" s="28"/>
      <c r="AC501" s="28"/>
      <c r="AD501" s="28"/>
      <c r="AE501" s="28"/>
      <c r="AF501" s="28"/>
      <c r="AG501" s="28"/>
      <c r="AH501" s="28"/>
      <c r="AI501" s="28"/>
      <c r="AJ501" s="28"/>
      <c r="AK501" s="28"/>
      <c r="AL501" s="28"/>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row>
    <row r="502" spans="1:114" s="38" customFormat="1" ht="15.75" customHeight="1">
      <c r="A502" s="123">
        <f>A501+1</f>
        <v>395</v>
      </c>
      <c r="B502" s="101">
        <v>2</v>
      </c>
      <c r="C502" s="102" t="s">
        <v>149</v>
      </c>
      <c r="D502" s="103" t="s">
        <v>1004</v>
      </c>
      <c r="E502" s="102" t="s">
        <v>598</v>
      </c>
      <c r="F502" s="104">
        <v>120101777</v>
      </c>
      <c r="G502" s="105"/>
      <c r="H502" s="106"/>
      <c r="I502" s="107"/>
      <c r="J502" s="26"/>
      <c r="K502" s="43"/>
      <c r="L502" s="27"/>
      <c r="M502" s="27"/>
      <c r="N502" s="27"/>
      <c r="O502" s="27"/>
      <c r="P502" s="27"/>
      <c r="Q502" s="27"/>
      <c r="R502" s="27"/>
      <c r="S502" s="27"/>
      <c r="T502" s="27"/>
      <c r="U502" s="27"/>
      <c r="V502" s="28"/>
      <c r="W502" s="28"/>
      <c r="X502" s="28"/>
      <c r="Y502" s="28"/>
      <c r="Z502" s="28"/>
      <c r="AA502" s="28"/>
      <c r="AB502" s="28"/>
      <c r="AC502" s="28"/>
      <c r="AD502" s="28"/>
      <c r="AE502" s="28"/>
      <c r="AF502" s="28"/>
      <c r="AG502" s="28"/>
      <c r="AH502" s="28"/>
      <c r="AI502" s="28"/>
      <c r="AJ502" s="28"/>
      <c r="AK502" s="28"/>
      <c r="AL502" s="28"/>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row>
    <row r="503" spans="1:114" s="38" customFormat="1" ht="15.75" customHeight="1">
      <c r="A503" s="123">
        <f>A502+1</f>
        <v>396</v>
      </c>
      <c r="B503" s="101">
        <v>3</v>
      </c>
      <c r="C503" s="102" t="s">
        <v>150</v>
      </c>
      <c r="D503" s="103" t="s">
        <v>1005</v>
      </c>
      <c r="E503" s="102" t="s">
        <v>598</v>
      </c>
      <c r="F503" s="104">
        <v>40000000</v>
      </c>
      <c r="G503" s="105"/>
      <c r="H503" s="106"/>
      <c r="I503" s="107"/>
      <c r="J503" s="26"/>
      <c r="K503" s="43"/>
      <c r="L503" s="27"/>
      <c r="M503" s="27"/>
      <c r="N503" s="27"/>
      <c r="O503" s="27"/>
      <c r="P503" s="27"/>
      <c r="Q503" s="27"/>
      <c r="R503" s="27"/>
      <c r="S503" s="27"/>
      <c r="T503" s="27"/>
      <c r="U503" s="27"/>
      <c r="V503" s="28"/>
      <c r="W503" s="28"/>
      <c r="X503" s="28"/>
      <c r="Y503" s="28"/>
      <c r="Z503" s="28"/>
      <c r="AA503" s="28"/>
      <c r="AB503" s="28"/>
      <c r="AC503" s="28"/>
      <c r="AD503" s="28"/>
      <c r="AE503" s="28"/>
      <c r="AF503" s="28"/>
      <c r="AG503" s="28"/>
      <c r="AH503" s="28"/>
      <c r="AI503" s="28"/>
      <c r="AJ503" s="28"/>
      <c r="AK503" s="28"/>
      <c r="AL503" s="28"/>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row>
    <row r="504" spans="1:114" s="38" customFormat="1" ht="15.75" customHeight="1">
      <c r="A504" s="82">
        <f>A503+1</f>
        <v>397</v>
      </c>
      <c r="B504" s="83">
        <v>4</v>
      </c>
      <c r="C504" s="84" t="s">
        <v>434</v>
      </c>
      <c r="D504" s="85" t="s">
        <v>1006</v>
      </c>
      <c r="E504" s="84" t="s">
        <v>597</v>
      </c>
      <c r="F504" s="86">
        <v>126481383.24</v>
      </c>
      <c r="G504" s="87"/>
      <c r="H504" s="88"/>
      <c r="I504" s="89"/>
      <c r="J504" s="26"/>
      <c r="K504" s="43"/>
      <c r="L504" s="27"/>
      <c r="M504" s="27"/>
      <c r="N504" s="27"/>
      <c r="O504" s="27"/>
      <c r="P504" s="27"/>
      <c r="Q504" s="27"/>
      <c r="R504" s="27"/>
      <c r="S504" s="27"/>
      <c r="T504" s="27"/>
      <c r="U504" s="27"/>
      <c r="V504" s="28"/>
      <c r="W504" s="28"/>
      <c r="X504" s="28"/>
      <c r="Y504" s="28"/>
      <c r="Z504" s="28"/>
      <c r="AA504" s="28"/>
      <c r="AB504" s="28"/>
      <c r="AC504" s="28"/>
      <c r="AD504" s="28"/>
      <c r="AE504" s="28"/>
      <c r="AF504" s="28"/>
      <c r="AG504" s="28"/>
      <c r="AH504" s="28"/>
      <c r="AI504" s="28"/>
      <c r="AJ504" s="28"/>
      <c r="AK504" s="28"/>
      <c r="AL504" s="28"/>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row>
    <row r="505" spans="1:114" s="30" customFormat="1" ht="15.75" customHeight="1">
      <c r="A505" s="282" t="s">
        <v>151</v>
      </c>
      <c r="B505" s="283"/>
      <c r="C505" s="283"/>
      <c r="D505" s="283"/>
      <c r="E505" s="22"/>
      <c r="F505" s="23">
        <f>SUM(F501:F504)</f>
        <v>897335449.24</v>
      </c>
      <c r="G505" s="23"/>
      <c r="H505" s="24">
        <f>SUM(H501:H504)</f>
        <v>0</v>
      </c>
      <c r="I505" s="25"/>
      <c r="J505" s="26"/>
      <c r="K505" s="27"/>
      <c r="L505" s="27"/>
      <c r="M505" s="28"/>
      <c r="N505" s="28"/>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8"/>
      <c r="AL505" s="28"/>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row>
    <row r="506" spans="1:114" s="38" customFormat="1" ht="9.75" customHeight="1" thickBot="1">
      <c r="A506" s="90"/>
      <c r="B506" s="90"/>
      <c r="C506" s="91"/>
      <c r="D506" s="90"/>
      <c r="E506" s="91"/>
      <c r="F506" s="93"/>
      <c r="G506" s="94"/>
      <c r="H506" s="74"/>
      <c r="I506" s="218"/>
      <c r="J506" s="26"/>
      <c r="K506" s="43"/>
      <c r="L506" s="27"/>
      <c r="M506" s="27"/>
      <c r="N506" s="27"/>
      <c r="O506" s="27"/>
      <c r="P506" s="27"/>
      <c r="Q506" s="27"/>
      <c r="R506" s="27"/>
      <c r="S506" s="27"/>
      <c r="T506" s="27"/>
      <c r="U506" s="27"/>
      <c r="V506" s="28"/>
      <c r="W506" s="28"/>
      <c r="X506" s="28"/>
      <c r="Y506" s="28"/>
      <c r="Z506" s="28"/>
      <c r="AA506" s="28"/>
      <c r="AB506" s="28"/>
      <c r="AC506" s="28"/>
      <c r="AD506" s="28"/>
      <c r="AE506" s="28"/>
      <c r="AF506" s="28"/>
      <c r="AG506" s="28"/>
      <c r="AH506" s="28"/>
      <c r="AI506" s="28"/>
      <c r="AJ506" s="28"/>
      <c r="AK506" s="28"/>
      <c r="AL506" s="28"/>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row>
    <row r="507" spans="1:114" s="38" customFormat="1" ht="24.75" customHeight="1" thickBot="1">
      <c r="A507" s="279" t="s">
        <v>785</v>
      </c>
      <c r="B507" s="280"/>
      <c r="C507" s="280"/>
      <c r="D507" s="280"/>
      <c r="E507" s="280"/>
      <c r="F507" s="280"/>
      <c r="G507" s="280"/>
      <c r="H507" s="280"/>
      <c r="I507" s="281"/>
      <c r="J507" s="37"/>
      <c r="K507" s="27"/>
      <c r="L507" s="27"/>
      <c r="M507" s="27"/>
      <c r="N507" s="27"/>
      <c r="O507" s="27"/>
      <c r="P507" s="27"/>
      <c r="Q507" s="27"/>
      <c r="R507" s="27"/>
      <c r="S507" s="27"/>
      <c r="T507" s="27"/>
      <c r="U507" s="27"/>
      <c r="V507" s="28"/>
      <c r="W507" s="28"/>
      <c r="X507" s="28"/>
      <c r="Y507" s="28"/>
      <c r="Z507" s="28"/>
      <c r="AA507" s="28"/>
      <c r="AB507" s="28"/>
      <c r="AC507" s="28"/>
      <c r="AD507" s="28"/>
      <c r="AE507" s="28"/>
      <c r="AF507" s="28"/>
      <c r="AG507" s="28"/>
      <c r="AH507" s="28"/>
      <c r="AI507" s="28"/>
      <c r="AJ507" s="28"/>
      <c r="AK507" s="28"/>
      <c r="AL507" s="28"/>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row>
    <row r="508" spans="7:10" s="90" customFormat="1" ht="6.75" customHeight="1">
      <c r="G508" s="173"/>
      <c r="I508" s="173"/>
      <c r="J508" s="217"/>
    </row>
    <row r="509" spans="1:114" s="38" customFormat="1" ht="26.25" customHeight="1">
      <c r="A509" s="75">
        <f>A504+1</f>
        <v>398</v>
      </c>
      <c r="B509" s="76">
        <v>1</v>
      </c>
      <c r="C509" s="77" t="s">
        <v>791</v>
      </c>
      <c r="D509" s="219" t="s">
        <v>447</v>
      </c>
      <c r="E509" s="77" t="s">
        <v>3</v>
      </c>
      <c r="F509" s="98">
        <v>92582</v>
      </c>
      <c r="G509" s="99"/>
      <c r="H509" s="79">
        <v>5526787</v>
      </c>
      <c r="I509" s="81"/>
      <c r="J509" s="26"/>
      <c r="K509" s="43"/>
      <c r="L509" s="27"/>
      <c r="M509" s="27"/>
      <c r="N509" s="27"/>
      <c r="O509" s="27"/>
      <c r="P509" s="27"/>
      <c r="Q509" s="27"/>
      <c r="R509" s="27"/>
      <c r="S509" s="27"/>
      <c r="T509" s="27"/>
      <c r="U509" s="27"/>
      <c r="V509" s="28"/>
      <c r="W509" s="28"/>
      <c r="X509" s="28"/>
      <c r="Y509" s="28"/>
      <c r="Z509" s="28"/>
      <c r="AA509" s="28"/>
      <c r="AB509" s="28"/>
      <c r="AC509" s="28"/>
      <c r="AD509" s="28"/>
      <c r="AE509" s="28"/>
      <c r="AF509" s="28"/>
      <c r="AG509" s="28"/>
      <c r="AH509" s="28"/>
      <c r="AI509" s="28"/>
      <c r="AJ509" s="28"/>
      <c r="AK509" s="28"/>
      <c r="AL509" s="28"/>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row>
    <row r="510" spans="1:114" s="38" customFormat="1" ht="15.75" customHeight="1">
      <c r="A510" s="123">
        <f aca="true" t="shared" si="37" ref="A510:B513">A509+1</f>
        <v>399</v>
      </c>
      <c r="B510" s="101">
        <f t="shared" si="37"/>
        <v>2</v>
      </c>
      <c r="C510" s="102" t="s">
        <v>792</v>
      </c>
      <c r="D510" s="103" t="s">
        <v>182</v>
      </c>
      <c r="E510" s="102" t="s">
        <v>594</v>
      </c>
      <c r="F510" s="104"/>
      <c r="G510" s="105"/>
      <c r="H510" s="106">
        <v>70260281</v>
      </c>
      <c r="I510" s="107"/>
      <c r="J510" s="26"/>
      <c r="K510" s="43"/>
      <c r="L510" s="27"/>
      <c r="M510" s="27"/>
      <c r="N510" s="27"/>
      <c r="O510" s="27"/>
      <c r="P510" s="27"/>
      <c r="Q510" s="27"/>
      <c r="R510" s="27"/>
      <c r="S510" s="27"/>
      <c r="T510" s="27"/>
      <c r="U510" s="27"/>
      <c r="V510" s="28"/>
      <c r="W510" s="28"/>
      <c r="X510" s="28"/>
      <c r="Y510" s="28"/>
      <c r="Z510" s="28"/>
      <c r="AA510" s="28"/>
      <c r="AB510" s="28"/>
      <c r="AC510" s="28"/>
      <c r="AD510" s="28"/>
      <c r="AE510" s="28"/>
      <c r="AF510" s="28"/>
      <c r="AG510" s="28"/>
      <c r="AH510" s="28"/>
      <c r="AI510" s="28"/>
      <c r="AJ510" s="28"/>
      <c r="AK510" s="28"/>
      <c r="AL510" s="28"/>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row>
    <row r="511" spans="1:114" s="30" customFormat="1" ht="15.75" customHeight="1">
      <c r="A511" s="282" t="s">
        <v>327</v>
      </c>
      <c r="B511" s="283"/>
      <c r="C511" s="283"/>
      <c r="D511" s="283"/>
      <c r="E511" s="22"/>
      <c r="F511" s="23">
        <f>F509</f>
        <v>92582</v>
      </c>
      <c r="G511" s="23"/>
      <c r="H511" s="23">
        <f>H509+H510</f>
        <v>75787068</v>
      </c>
      <c r="I511" s="23"/>
      <c r="J511" s="26"/>
      <c r="K511" s="27"/>
      <c r="L511" s="27"/>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8"/>
      <c r="AL511" s="28"/>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row>
    <row r="512" spans="1:114" s="38" customFormat="1" ht="26.25" customHeight="1">
      <c r="A512" s="123">
        <f>A510+1</f>
        <v>400</v>
      </c>
      <c r="B512" s="101">
        <f>B510+1</f>
        <v>3</v>
      </c>
      <c r="C512" s="102" t="s">
        <v>793</v>
      </c>
      <c r="D512" s="103" t="s">
        <v>574</v>
      </c>
      <c r="E512" s="102" t="s">
        <v>3</v>
      </c>
      <c r="F512" s="104">
        <v>20004</v>
      </c>
      <c r="G512" s="105"/>
      <c r="H512" s="106">
        <v>205504</v>
      </c>
      <c r="I512" s="107"/>
      <c r="J512" s="26"/>
      <c r="K512" s="43"/>
      <c r="L512" s="27"/>
      <c r="M512" s="27"/>
      <c r="N512" s="27"/>
      <c r="O512" s="27"/>
      <c r="P512" s="27"/>
      <c r="Q512" s="27"/>
      <c r="R512" s="27"/>
      <c r="S512" s="27"/>
      <c r="T512" s="27"/>
      <c r="U512" s="27"/>
      <c r="V512" s="28"/>
      <c r="W512" s="28"/>
      <c r="X512" s="28"/>
      <c r="Y512" s="28"/>
      <c r="Z512" s="28"/>
      <c r="AA512" s="28"/>
      <c r="AB512" s="28"/>
      <c r="AC512" s="28"/>
      <c r="AD512" s="28"/>
      <c r="AE512" s="28"/>
      <c r="AF512" s="28"/>
      <c r="AG512" s="28"/>
      <c r="AH512" s="28"/>
      <c r="AI512" s="28"/>
      <c r="AJ512" s="28"/>
      <c r="AK512" s="28"/>
      <c r="AL512" s="28"/>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row>
    <row r="513" spans="1:115" s="71" customFormat="1" ht="15.75" customHeight="1">
      <c r="A513" s="123">
        <f t="shared" si="37"/>
        <v>401</v>
      </c>
      <c r="B513" s="101">
        <f t="shared" si="37"/>
        <v>4</v>
      </c>
      <c r="C513" s="102" t="s">
        <v>794</v>
      </c>
      <c r="D513" s="103" t="s">
        <v>575</v>
      </c>
      <c r="E513" s="102" t="s">
        <v>3</v>
      </c>
      <c r="F513" s="104">
        <v>455777</v>
      </c>
      <c r="G513" s="105"/>
      <c r="H513" s="106">
        <v>5528792</v>
      </c>
      <c r="I513" s="107"/>
      <c r="J513" s="26"/>
      <c r="K513" s="43"/>
      <c r="L513" s="27"/>
      <c r="M513" s="27"/>
      <c r="N513" s="27"/>
      <c r="O513" s="27"/>
      <c r="P513" s="27"/>
      <c r="Q513" s="27"/>
      <c r="R513" s="27"/>
      <c r="S513" s="27"/>
      <c r="T513" s="27"/>
      <c r="U513" s="27"/>
      <c r="V513" s="28"/>
      <c r="W513" s="28"/>
      <c r="X513" s="28"/>
      <c r="Y513" s="28"/>
      <c r="Z513" s="28"/>
      <c r="AA513" s="28"/>
      <c r="AB513" s="28"/>
      <c r="AC513" s="28"/>
      <c r="AD513" s="28"/>
      <c r="AE513" s="28"/>
      <c r="AF513" s="28"/>
      <c r="AG513" s="28"/>
      <c r="AH513" s="28"/>
      <c r="AI513" s="28"/>
      <c r="AJ513" s="28"/>
      <c r="AK513" s="28"/>
      <c r="AL513" s="28"/>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70"/>
    </row>
    <row r="514" spans="1:114" s="38" customFormat="1" ht="24.75" customHeight="1">
      <c r="A514" s="123">
        <f>A513+1</f>
        <v>402</v>
      </c>
      <c r="B514" s="101">
        <v>5</v>
      </c>
      <c r="C514" s="102" t="s">
        <v>795</v>
      </c>
      <c r="D514" s="103" t="s">
        <v>470</v>
      </c>
      <c r="E514" s="102" t="s">
        <v>471</v>
      </c>
      <c r="F514" s="104">
        <f>+(28800707.67+28710803.06)/2.88</f>
        <v>19969274.55902778</v>
      </c>
      <c r="G514" s="105"/>
      <c r="H514" s="106">
        <v>150000000</v>
      </c>
      <c r="I514" s="107"/>
      <c r="J514" s="26"/>
      <c r="K514" s="43"/>
      <c r="L514" s="27"/>
      <c r="M514" s="27"/>
      <c r="N514" s="27"/>
      <c r="O514" s="27"/>
      <c r="P514" s="27"/>
      <c r="Q514" s="27"/>
      <c r="R514" s="27"/>
      <c r="S514" s="27"/>
      <c r="T514" s="27"/>
      <c r="U514" s="27"/>
      <c r="V514" s="28"/>
      <c r="W514" s="28"/>
      <c r="X514" s="28"/>
      <c r="Y514" s="28"/>
      <c r="Z514" s="28"/>
      <c r="AA514" s="28"/>
      <c r="AB514" s="28"/>
      <c r="AC514" s="28"/>
      <c r="AD514" s="28"/>
      <c r="AE514" s="28"/>
      <c r="AF514" s="28"/>
      <c r="AG514" s="28"/>
      <c r="AH514" s="28"/>
      <c r="AI514" s="28"/>
      <c r="AJ514" s="28"/>
      <c r="AK514" s="28"/>
      <c r="AL514" s="28"/>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row>
    <row r="515" spans="1:114" s="30" customFormat="1" ht="15.75" customHeight="1">
      <c r="A515" s="282" t="s">
        <v>754</v>
      </c>
      <c r="B515" s="283"/>
      <c r="C515" s="283"/>
      <c r="D515" s="283"/>
      <c r="E515" s="22"/>
      <c r="F515" s="23">
        <f>SUM(F512:F514)</f>
        <v>20445055.55902778</v>
      </c>
      <c r="G515" s="23"/>
      <c r="H515" s="23">
        <f>SUM(H512:H514)</f>
        <v>155734296</v>
      </c>
      <c r="I515" s="23"/>
      <c r="J515" s="26"/>
      <c r="K515" s="27"/>
      <c r="L515" s="27"/>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8"/>
      <c r="AL515" s="28"/>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row>
    <row r="516" spans="1:38" s="29" customFormat="1" ht="27.75" customHeight="1">
      <c r="A516" s="123">
        <f>A514+1</f>
        <v>403</v>
      </c>
      <c r="B516" s="101">
        <v>6</v>
      </c>
      <c r="C516" s="102" t="s">
        <v>487</v>
      </c>
      <c r="D516" s="103" t="s">
        <v>371</v>
      </c>
      <c r="E516" s="102" t="s">
        <v>471</v>
      </c>
      <c r="F516" s="104">
        <v>1500000</v>
      </c>
      <c r="G516" s="105"/>
      <c r="H516" s="106">
        <v>11718782</v>
      </c>
      <c r="I516" s="107"/>
      <c r="J516" s="26"/>
      <c r="K516" s="43"/>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row>
    <row r="517" spans="1:115" s="71" customFormat="1" ht="24.75" customHeight="1">
      <c r="A517" s="82">
        <f>A516+1</f>
        <v>404</v>
      </c>
      <c r="B517" s="83">
        <v>7</v>
      </c>
      <c r="C517" s="84" t="s">
        <v>564</v>
      </c>
      <c r="D517" s="85" t="s">
        <v>565</v>
      </c>
      <c r="E517" s="84" t="s">
        <v>309</v>
      </c>
      <c r="F517" s="86"/>
      <c r="G517" s="87"/>
      <c r="H517" s="88">
        <f>120330000/1.19</f>
        <v>101117647.05882354</v>
      </c>
      <c r="I517" s="89"/>
      <c r="J517" s="26"/>
      <c r="K517" s="43"/>
      <c r="L517" s="27"/>
      <c r="M517" s="27"/>
      <c r="N517" s="27"/>
      <c r="O517" s="27"/>
      <c r="P517" s="27"/>
      <c r="Q517" s="27"/>
      <c r="R517" s="27"/>
      <c r="S517" s="27"/>
      <c r="T517" s="27"/>
      <c r="U517" s="27"/>
      <c r="V517" s="28"/>
      <c r="W517" s="28"/>
      <c r="X517" s="28"/>
      <c r="Y517" s="28"/>
      <c r="Z517" s="28"/>
      <c r="AA517" s="28"/>
      <c r="AB517" s="28"/>
      <c r="AC517" s="28"/>
      <c r="AD517" s="28"/>
      <c r="AE517" s="28"/>
      <c r="AF517" s="28"/>
      <c r="AG517" s="28"/>
      <c r="AH517" s="28"/>
      <c r="AI517" s="28"/>
      <c r="AJ517" s="28"/>
      <c r="AK517" s="28"/>
      <c r="AL517" s="28"/>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70"/>
    </row>
    <row r="518" spans="1:114" s="30" customFormat="1" ht="15.75" customHeight="1">
      <c r="A518" s="282" t="s">
        <v>622</v>
      </c>
      <c r="B518" s="283"/>
      <c r="C518" s="283"/>
      <c r="D518" s="283"/>
      <c r="E518" s="22"/>
      <c r="F518" s="23">
        <f>F516</f>
        <v>1500000</v>
      </c>
      <c r="G518" s="23"/>
      <c r="H518" s="23">
        <f>H516+H517</f>
        <v>112836429.05882354</v>
      </c>
      <c r="I518" s="23"/>
      <c r="J518" s="26"/>
      <c r="K518" s="27"/>
      <c r="L518" s="27"/>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8"/>
      <c r="AL518" s="28"/>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row>
    <row r="519" spans="1:115" s="71" customFormat="1" ht="24.75" customHeight="1">
      <c r="A519" s="82">
        <f>A517+1</f>
        <v>405</v>
      </c>
      <c r="B519" s="83">
        <f>B517+1</f>
        <v>8</v>
      </c>
      <c r="C519" s="84" t="s">
        <v>1087</v>
      </c>
      <c r="D519" s="85" t="s">
        <v>1086</v>
      </c>
      <c r="E519" s="84" t="s">
        <v>598</v>
      </c>
      <c r="F519" s="86"/>
      <c r="G519" s="87"/>
      <c r="H519" s="88">
        <v>371186440.6779661</v>
      </c>
      <c r="I519" s="89"/>
      <c r="J519" s="26"/>
      <c r="K519" s="43"/>
      <c r="L519" s="27"/>
      <c r="M519" s="27"/>
      <c r="N519" s="27"/>
      <c r="O519" s="27"/>
      <c r="P519" s="27"/>
      <c r="Q519" s="27"/>
      <c r="R519" s="27"/>
      <c r="S519" s="27"/>
      <c r="T519" s="27"/>
      <c r="U519" s="27"/>
      <c r="V519" s="28"/>
      <c r="W519" s="28"/>
      <c r="X519" s="28"/>
      <c r="Y519" s="28"/>
      <c r="Z519" s="28"/>
      <c r="AA519" s="28"/>
      <c r="AB519" s="28"/>
      <c r="AC519" s="28"/>
      <c r="AD519" s="28"/>
      <c r="AE519" s="28"/>
      <c r="AF519" s="28"/>
      <c r="AG519" s="28"/>
      <c r="AH519" s="28"/>
      <c r="AI519" s="28"/>
      <c r="AJ519" s="28"/>
      <c r="AK519" s="28"/>
      <c r="AL519" s="28"/>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70"/>
    </row>
    <row r="520" spans="1:114" s="30" customFormat="1" ht="15.75" customHeight="1">
      <c r="A520" s="282" t="s">
        <v>1094</v>
      </c>
      <c r="B520" s="283"/>
      <c r="C520" s="283"/>
      <c r="D520" s="283"/>
      <c r="E520" s="22"/>
      <c r="F520" s="23"/>
      <c r="G520" s="23"/>
      <c r="H520" s="23">
        <f>H519</f>
        <v>371186440.6779661</v>
      </c>
      <c r="I520" s="23"/>
      <c r="J520" s="26"/>
      <c r="K520" s="27"/>
      <c r="L520" s="27"/>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row>
    <row r="521" spans="1:114" s="44" customFormat="1" ht="24.75" customHeight="1">
      <c r="A521" s="255"/>
      <c r="B521" s="256"/>
      <c r="C521" s="257"/>
      <c r="D521" s="256"/>
      <c r="E521" s="257"/>
      <c r="F521" s="258"/>
      <c r="G521" s="259"/>
      <c r="H521" s="260"/>
      <c r="I521" s="261"/>
      <c r="J521" s="26"/>
      <c r="K521" s="43"/>
      <c r="L521" s="27"/>
      <c r="M521" s="27"/>
      <c r="N521" s="27"/>
      <c r="O521" s="27"/>
      <c r="P521" s="27"/>
      <c r="Q521" s="27"/>
      <c r="R521" s="27"/>
      <c r="S521" s="27"/>
      <c r="T521" s="27"/>
      <c r="U521" s="27"/>
      <c r="V521" s="28"/>
      <c r="W521" s="28"/>
      <c r="X521" s="28"/>
      <c r="Y521" s="28"/>
      <c r="Z521" s="28"/>
      <c r="AA521" s="28"/>
      <c r="AB521" s="28"/>
      <c r="AC521" s="28"/>
      <c r="AD521" s="28"/>
      <c r="AE521" s="28"/>
      <c r="AF521" s="28"/>
      <c r="AG521" s="28"/>
      <c r="AH521" s="28"/>
      <c r="AI521" s="28"/>
      <c r="AJ521" s="28"/>
      <c r="AK521" s="28"/>
      <c r="AL521" s="28"/>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row>
    <row r="522" spans="1:114" s="30" customFormat="1" ht="15.75" customHeight="1">
      <c r="A522" s="282" t="s">
        <v>604</v>
      </c>
      <c r="B522" s="283"/>
      <c r="C522" s="283"/>
      <c r="D522" s="283"/>
      <c r="E522" s="22"/>
      <c r="F522" s="23">
        <f>F511+F515+F518</f>
        <v>22037637.55902778</v>
      </c>
      <c r="G522" s="23"/>
      <c r="H522" s="24">
        <f>H511+H515+H518+H520</f>
        <v>715544233.7367897</v>
      </c>
      <c r="I522" s="25"/>
      <c r="J522" s="26"/>
      <c r="K522" s="27"/>
      <c r="L522" s="27"/>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8"/>
      <c r="AL522" s="28"/>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row>
    <row r="523" spans="1:114" s="38" customFormat="1" ht="11.25" customHeight="1" thickBot="1">
      <c r="A523" s="90"/>
      <c r="B523" s="44"/>
      <c r="C523" s="92"/>
      <c r="D523" s="220"/>
      <c r="E523" s="92"/>
      <c r="F523" s="221"/>
      <c r="G523" s="222"/>
      <c r="H523" s="221"/>
      <c r="I523" s="223"/>
      <c r="J523" s="26"/>
      <c r="K523" s="43"/>
      <c r="L523" s="27"/>
      <c r="M523" s="27"/>
      <c r="N523" s="27"/>
      <c r="O523" s="27"/>
      <c r="P523" s="27"/>
      <c r="Q523" s="27"/>
      <c r="R523" s="27"/>
      <c r="S523" s="27"/>
      <c r="T523" s="27"/>
      <c r="U523" s="27"/>
      <c r="V523" s="28"/>
      <c r="W523" s="28"/>
      <c r="X523" s="28"/>
      <c r="Y523" s="28"/>
      <c r="Z523" s="28"/>
      <c r="AA523" s="28"/>
      <c r="AB523" s="28"/>
      <c r="AC523" s="28"/>
      <c r="AD523" s="28"/>
      <c r="AE523" s="28"/>
      <c r="AF523" s="28"/>
      <c r="AG523" s="28"/>
      <c r="AH523" s="28"/>
      <c r="AI523" s="28"/>
      <c r="AJ523" s="28"/>
      <c r="AK523" s="28"/>
      <c r="AL523" s="28"/>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row>
    <row r="524" spans="1:114" s="38" customFormat="1" ht="24.75" customHeight="1" thickBot="1">
      <c r="A524" s="279" t="s">
        <v>782</v>
      </c>
      <c r="B524" s="280"/>
      <c r="C524" s="280"/>
      <c r="D524" s="280"/>
      <c r="E524" s="280"/>
      <c r="F524" s="280"/>
      <c r="G524" s="280"/>
      <c r="H524" s="280"/>
      <c r="I524" s="281"/>
      <c r="J524" s="37"/>
      <c r="K524" s="27"/>
      <c r="L524" s="27"/>
      <c r="M524" s="27"/>
      <c r="N524" s="27"/>
      <c r="O524" s="27"/>
      <c r="P524" s="27"/>
      <c r="Q524" s="27"/>
      <c r="R524" s="27"/>
      <c r="S524" s="27"/>
      <c r="T524" s="27"/>
      <c r="U524" s="27"/>
      <c r="V524" s="28"/>
      <c r="W524" s="28"/>
      <c r="X524" s="28"/>
      <c r="Y524" s="28"/>
      <c r="Z524" s="28"/>
      <c r="AA524" s="28"/>
      <c r="AB524" s="28"/>
      <c r="AC524" s="28"/>
      <c r="AD524" s="28"/>
      <c r="AE524" s="28"/>
      <c r="AF524" s="28"/>
      <c r="AG524" s="28"/>
      <c r="AH524" s="28"/>
      <c r="AI524" s="28"/>
      <c r="AJ524" s="28"/>
      <c r="AK524" s="28"/>
      <c r="AL524" s="28"/>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row>
    <row r="525" spans="7:10" s="90" customFormat="1" ht="6.75" customHeight="1">
      <c r="G525" s="173"/>
      <c r="I525" s="173"/>
      <c r="J525" s="217"/>
    </row>
    <row r="526" spans="1:114" s="38" customFormat="1" ht="21" customHeight="1">
      <c r="A526" s="123">
        <f>A519+1</f>
        <v>406</v>
      </c>
      <c r="B526" s="101">
        <v>1</v>
      </c>
      <c r="C526" s="102" t="s">
        <v>271</v>
      </c>
      <c r="D526" s="181" t="s">
        <v>1007</v>
      </c>
      <c r="E526" s="102" t="s">
        <v>633</v>
      </c>
      <c r="F526" s="104"/>
      <c r="G526" s="105"/>
      <c r="H526" s="106">
        <v>8850000</v>
      </c>
      <c r="I526" s="107" t="s">
        <v>805</v>
      </c>
      <c r="J526" s="26"/>
      <c r="K526" s="43"/>
      <c r="L526" s="27"/>
      <c r="M526" s="27"/>
      <c r="N526" s="27"/>
      <c r="O526" s="27"/>
      <c r="P526" s="27"/>
      <c r="Q526" s="27"/>
      <c r="R526" s="27"/>
      <c r="S526" s="27"/>
      <c r="T526" s="27"/>
      <c r="U526" s="27"/>
      <c r="V526" s="28"/>
      <c r="W526" s="28"/>
      <c r="X526" s="28"/>
      <c r="Y526" s="28"/>
      <c r="Z526" s="28"/>
      <c r="AA526" s="28"/>
      <c r="AB526" s="28"/>
      <c r="AC526" s="28"/>
      <c r="AD526" s="28"/>
      <c r="AE526" s="28"/>
      <c r="AF526" s="28"/>
      <c r="AG526" s="28"/>
      <c r="AH526" s="28"/>
      <c r="AI526" s="28"/>
      <c r="AJ526" s="28"/>
      <c r="AK526" s="28"/>
      <c r="AL526" s="28"/>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row>
    <row r="527" spans="1:114" s="30" customFormat="1" ht="15.75" customHeight="1">
      <c r="A527" s="282" t="s">
        <v>586</v>
      </c>
      <c r="B527" s="283"/>
      <c r="C527" s="283"/>
      <c r="D527" s="283"/>
      <c r="E527" s="22"/>
      <c r="F527" s="23"/>
      <c r="G527" s="23"/>
      <c r="H527" s="23">
        <f>H526</f>
        <v>8850000</v>
      </c>
      <c r="I527" s="23"/>
      <c r="J527" s="26"/>
      <c r="K527" s="27"/>
      <c r="L527" s="27"/>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8"/>
      <c r="AL527" s="28"/>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row>
    <row r="528" spans="1:114" s="38" customFormat="1" ht="21" customHeight="1">
      <c r="A528" s="123">
        <f>A526+1</f>
        <v>407</v>
      </c>
      <c r="B528" s="101">
        <f>B526+1</f>
        <v>2</v>
      </c>
      <c r="C528" s="102" t="s">
        <v>282</v>
      </c>
      <c r="D528" s="181" t="s">
        <v>1008</v>
      </c>
      <c r="E528" s="102" t="s">
        <v>633</v>
      </c>
      <c r="F528" s="104"/>
      <c r="G528" s="105"/>
      <c r="H528" s="106">
        <v>11558231</v>
      </c>
      <c r="I528" s="107" t="s">
        <v>805</v>
      </c>
      <c r="J528" s="26"/>
      <c r="K528" s="43"/>
      <c r="L528" s="27"/>
      <c r="M528" s="27"/>
      <c r="N528" s="27"/>
      <c r="O528" s="27"/>
      <c r="P528" s="27"/>
      <c r="Q528" s="27"/>
      <c r="R528" s="27"/>
      <c r="S528" s="27"/>
      <c r="T528" s="27"/>
      <c r="U528" s="27"/>
      <c r="V528" s="28"/>
      <c r="W528" s="28"/>
      <c r="X528" s="28"/>
      <c r="Y528" s="28"/>
      <c r="Z528" s="28"/>
      <c r="AA528" s="28"/>
      <c r="AB528" s="28"/>
      <c r="AC528" s="28"/>
      <c r="AD528" s="28"/>
      <c r="AE528" s="28"/>
      <c r="AF528" s="28"/>
      <c r="AG528" s="28"/>
      <c r="AH528" s="28"/>
      <c r="AI528" s="28"/>
      <c r="AJ528" s="28"/>
      <c r="AK528" s="28"/>
      <c r="AL528" s="28"/>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row>
    <row r="529" spans="1:114" s="30" customFormat="1" ht="15.75" customHeight="1">
      <c r="A529" s="282" t="s">
        <v>327</v>
      </c>
      <c r="B529" s="283"/>
      <c r="C529" s="283"/>
      <c r="D529" s="283"/>
      <c r="E529" s="22"/>
      <c r="F529" s="23"/>
      <c r="G529" s="23"/>
      <c r="H529" s="23">
        <f>H528</f>
        <v>11558231</v>
      </c>
      <c r="I529" s="23"/>
      <c r="J529" s="26"/>
      <c r="K529" s="27"/>
      <c r="L529" s="27"/>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row>
    <row r="530" spans="1:114" s="38" customFormat="1" ht="21" customHeight="1">
      <c r="A530" s="123">
        <f>A528+1</f>
        <v>408</v>
      </c>
      <c r="B530" s="101">
        <f>B528+1</f>
        <v>3</v>
      </c>
      <c r="C530" s="102" t="s">
        <v>387</v>
      </c>
      <c r="D530" s="181" t="s">
        <v>1009</v>
      </c>
      <c r="E530" s="102" t="s">
        <v>633</v>
      </c>
      <c r="F530" s="104"/>
      <c r="G530" s="105"/>
      <c r="H530" s="106">
        <v>48840000</v>
      </c>
      <c r="I530" s="107" t="s">
        <v>805</v>
      </c>
      <c r="J530" s="26"/>
      <c r="K530" s="43"/>
      <c r="L530" s="27"/>
      <c r="M530" s="27"/>
      <c r="N530" s="27"/>
      <c r="O530" s="27"/>
      <c r="P530" s="27"/>
      <c r="Q530" s="27"/>
      <c r="R530" s="27"/>
      <c r="S530" s="27"/>
      <c r="T530" s="27"/>
      <c r="U530" s="27"/>
      <c r="V530" s="28"/>
      <c r="W530" s="28"/>
      <c r="X530" s="28"/>
      <c r="Y530" s="28"/>
      <c r="Z530" s="28"/>
      <c r="AA530" s="28"/>
      <c r="AB530" s="28"/>
      <c r="AC530" s="28"/>
      <c r="AD530" s="28"/>
      <c r="AE530" s="28"/>
      <c r="AF530" s="28"/>
      <c r="AG530" s="28"/>
      <c r="AH530" s="28"/>
      <c r="AI530" s="28"/>
      <c r="AJ530" s="28"/>
      <c r="AK530" s="28"/>
      <c r="AL530" s="28"/>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row>
    <row r="531" spans="1:114" s="30" customFormat="1" ht="15.75" customHeight="1">
      <c r="A531" s="282" t="s">
        <v>754</v>
      </c>
      <c r="B531" s="283"/>
      <c r="C531" s="283"/>
      <c r="D531" s="283"/>
      <c r="E531" s="22"/>
      <c r="F531" s="23"/>
      <c r="G531" s="23"/>
      <c r="H531" s="23">
        <f>H530</f>
        <v>48840000</v>
      </c>
      <c r="I531" s="23"/>
      <c r="J531" s="26"/>
      <c r="K531" s="27"/>
      <c r="L531" s="27"/>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row>
    <row r="532" spans="1:114" s="38" customFormat="1" ht="34.5" customHeight="1">
      <c r="A532" s="123">
        <f>A530+1</f>
        <v>409</v>
      </c>
      <c r="B532" s="101">
        <f>B530+1</f>
        <v>4</v>
      </c>
      <c r="C532" s="102" t="s">
        <v>560</v>
      </c>
      <c r="D532" s="181" t="s">
        <v>1010</v>
      </c>
      <c r="E532" s="102" t="s">
        <v>633</v>
      </c>
      <c r="F532" s="104"/>
      <c r="G532" s="105"/>
      <c r="H532" s="106">
        <v>8910344</v>
      </c>
      <c r="I532" s="107" t="s">
        <v>805</v>
      </c>
      <c r="J532" s="26"/>
      <c r="K532" s="43"/>
      <c r="L532" s="27"/>
      <c r="M532" s="27"/>
      <c r="N532" s="27"/>
      <c r="O532" s="27"/>
      <c r="P532" s="27"/>
      <c r="Q532" s="27"/>
      <c r="R532" s="27"/>
      <c r="S532" s="27"/>
      <c r="T532" s="27"/>
      <c r="U532" s="27"/>
      <c r="V532" s="28"/>
      <c r="W532" s="28"/>
      <c r="X532" s="28"/>
      <c r="Y532" s="28"/>
      <c r="Z532" s="28"/>
      <c r="AA532" s="28"/>
      <c r="AB532" s="28"/>
      <c r="AC532" s="28"/>
      <c r="AD532" s="28"/>
      <c r="AE532" s="28"/>
      <c r="AF532" s="28"/>
      <c r="AG532" s="28"/>
      <c r="AH532" s="28"/>
      <c r="AI532" s="28"/>
      <c r="AJ532" s="28"/>
      <c r="AK532" s="28"/>
      <c r="AL532" s="28"/>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row>
    <row r="533" spans="1:114" s="38" customFormat="1" ht="33.75" customHeight="1">
      <c r="A533" s="123">
        <f aca="true" t="shared" si="38" ref="A533:B537">A532+1</f>
        <v>410</v>
      </c>
      <c r="B533" s="101">
        <f t="shared" si="38"/>
        <v>5</v>
      </c>
      <c r="C533" s="102" t="s">
        <v>310</v>
      </c>
      <c r="D533" s="181" t="s">
        <v>1011</v>
      </c>
      <c r="E533" s="102" t="s">
        <v>633</v>
      </c>
      <c r="F533" s="104"/>
      <c r="G533" s="105"/>
      <c r="H533" s="106">
        <v>15900000</v>
      </c>
      <c r="I533" s="107" t="s">
        <v>805</v>
      </c>
      <c r="J533" s="26"/>
      <c r="K533" s="43"/>
      <c r="L533" s="27"/>
      <c r="M533" s="27"/>
      <c r="N533" s="27"/>
      <c r="O533" s="27"/>
      <c r="P533" s="27"/>
      <c r="Q533" s="27"/>
      <c r="R533" s="27"/>
      <c r="S533" s="27"/>
      <c r="T533" s="27"/>
      <c r="U533" s="27"/>
      <c r="V533" s="28"/>
      <c r="W533" s="28"/>
      <c r="X533" s="28"/>
      <c r="Y533" s="28"/>
      <c r="Z533" s="28"/>
      <c r="AA533" s="28"/>
      <c r="AB533" s="28"/>
      <c r="AC533" s="28"/>
      <c r="AD533" s="28"/>
      <c r="AE533" s="28"/>
      <c r="AF533" s="28"/>
      <c r="AG533" s="28"/>
      <c r="AH533" s="28"/>
      <c r="AI533" s="28"/>
      <c r="AJ533" s="28"/>
      <c r="AK533" s="28"/>
      <c r="AL533" s="28"/>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row>
    <row r="534" spans="1:114" s="38" customFormat="1" ht="35.25" customHeight="1">
      <c r="A534" s="123">
        <f t="shared" si="38"/>
        <v>411</v>
      </c>
      <c r="B534" s="101">
        <f t="shared" si="38"/>
        <v>6</v>
      </c>
      <c r="C534" s="102" t="s">
        <v>238</v>
      </c>
      <c r="D534" s="181" t="s">
        <v>1012</v>
      </c>
      <c r="E534" s="102" t="s">
        <v>633</v>
      </c>
      <c r="F534" s="104"/>
      <c r="G534" s="105"/>
      <c r="H534" s="106">
        <v>14983544</v>
      </c>
      <c r="I534" s="107" t="s">
        <v>805</v>
      </c>
      <c r="J534" s="26"/>
      <c r="K534" s="43"/>
      <c r="L534" s="27"/>
      <c r="M534" s="27"/>
      <c r="N534" s="27"/>
      <c r="O534" s="27"/>
      <c r="P534" s="27"/>
      <c r="Q534" s="27"/>
      <c r="R534" s="27"/>
      <c r="S534" s="27"/>
      <c r="T534" s="27"/>
      <c r="U534" s="27"/>
      <c r="V534" s="28"/>
      <c r="W534" s="28"/>
      <c r="X534" s="28"/>
      <c r="Y534" s="28"/>
      <c r="Z534" s="28"/>
      <c r="AA534" s="28"/>
      <c r="AB534" s="28"/>
      <c r="AC534" s="28"/>
      <c r="AD534" s="28"/>
      <c r="AE534" s="28"/>
      <c r="AF534" s="28"/>
      <c r="AG534" s="28"/>
      <c r="AH534" s="28"/>
      <c r="AI534" s="28"/>
      <c r="AJ534" s="28"/>
      <c r="AK534" s="28"/>
      <c r="AL534" s="28"/>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row>
    <row r="535" spans="1:114" s="38" customFormat="1" ht="32.25" customHeight="1">
      <c r="A535" s="123">
        <f t="shared" si="38"/>
        <v>412</v>
      </c>
      <c r="B535" s="101">
        <f t="shared" si="38"/>
        <v>7</v>
      </c>
      <c r="C535" s="102" t="s">
        <v>238</v>
      </c>
      <c r="D535" s="181" t="s">
        <v>1013</v>
      </c>
      <c r="E535" s="102" t="s">
        <v>633</v>
      </c>
      <c r="F535" s="104"/>
      <c r="G535" s="105"/>
      <c r="H535" s="106">
        <v>17189134</v>
      </c>
      <c r="I535" s="107" t="s">
        <v>805</v>
      </c>
      <c r="J535" s="26"/>
      <c r="K535" s="43"/>
      <c r="L535" s="27"/>
      <c r="M535" s="27"/>
      <c r="N535" s="27"/>
      <c r="O535" s="27"/>
      <c r="P535" s="27"/>
      <c r="Q535" s="27"/>
      <c r="R535" s="27"/>
      <c r="S535" s="27"/>
      <c r="T535" s="27"/>
      <c r="U535" s="27"/>
      <c r="V535" s="28"/>
      <c r="W535" s="28"/>
      <c r="X535" s="28"/>
      <c r="Y535" s="28"/>
      <c r="Z535" s="28"/>
      <c r="AA535" s="28"/>
      <c r="AB535" s="28"/>
      <c r="AC535" s="28"/>
      <c r="AD535" s="28"/>
      <c r="AE535" s="28"/>
      <c r="AF535" s="28"/>
      <c r="AG535" s="28"/>
      <c r="AH535" s="28"/>
      <c r="AI535" s="28"/>
      <c r="AJ535" s="28"/>
      <c r="AK535" s="28"/>
      <c r="AL535" s="28"/>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row>
    <row r="536" spans="1:114" s="38" customFormat="1" ht="30" customHeight="1">
      <c r="A536" s="123">
        <f t="shared" si="38"/>
        <v>413</v>
      </c>
      <c r="B536" s="101">
        <f t="shared" si="38"/>
        <v>8</v>
      </c>
      <c r="C536" s="102" t="s">
        <v>239</v>
      </c>
      <c r="D536" s="181" t="s">
        <v>1014</v>
      </c>
      <c r="E536" s="102" t="s">
        <v>633</v>
      </c>
      <c r="F536" s="104"/>
      <c r="G536" s="105"/>
      <c r="H536" s="106">
        <v>14717777</v>
      </c>
      <c r="I536" s="107" t="s">
        <v>805</v>
      </c>
      <c r="J536" s="26"/>
      <c r="K536" s="43"/>
      <c r="L536" s="27"/>
      <c r="M536" s="27"/>
      <c r="N536" s="27"/>
      <c r="O536" s="27"/>
      <c r="P536" s="27"/>
      <c r="Q536" s="27"/>
      <c r="R536" s="27"/>
      <c r="S536" s="27"/>
      <c r="T536" s="27"/>
      <c r="U536" s="27"/>
      <c r="V536" s="28"/>
      <c r="W536" s="28"/>
      <c r="X536" s="28"/>
      <c r="Y536" s="28"/>
      <c r="Z536" s="28"/>
      <c r="AA536" s="28"/>
      <c r="AB536" s="28"/>
      <c r="AC536" s="28"/>
      <c r="AD536" s="28"/>
      <c r="AE536" s="28"/>
      <c r="AF536" s="28"/>
      <c r="AG536" s="28"/>
      <c r="AH536" s="28"/>
      <c r="AI536" s="28"/>
      <c r="AJ536" s="28"/>
      <c r="AK536" s="28"/>
      <c r="AL536" s="28"/>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row>
    <row r="537" spans="1:114" s="38" customFormat="1" ht="32.25" customHeight="1">
      <c r="A537" s="123">
        <f t="shared" si="38"/>
        <v>414</v>
      </c>
      <c r="B537" s="101">
        <f t="shared" si="38"/>
        <v>9</v>
      </c>
      <c r="C537" s="102" t="s">
        <v>239</v>
      </c>
      <c r="D537" s="181" t="s">
        <v>1015</v>
      </c>
      <c r="E537" s="102" t="s">
        <v>633</v>
      </c>
      <c r="F537" s="104"/>
      <c r="G537" s="105"/>
      <c r="H537" s="106">
        <v>14462000</v>
      </c>
      <c r="I537" s="107" t="s">
        <v>805</v>
      </c>
      <c r="J537" s="26"/>
      <c r="K537" s="43"/>
      <c r="L537" s="27"/>
      <c r="M537" s="27"/>
      <c r="N537" s="27"/>
      <c r="O537" s="27"/>
      <c r="P537" s="27"/>
      <c r="Q537" s="27"/>
      <c r="R537" s="27"/>
      <c r="S537" s="27"/>
      <c r="T537" s="27"/>
      <c r="U537" s="27"/>
      <c r="V537" s="28"/>
      <c r="W537" s="28"/>
      <c r="X537" s="28"/>
      <c r="Y537" s="28"/>
      <c r="Z537" s="28"/>
      <c r="AA537" s="28"/>
      <c r="AB537" s="28"/>
      <c r="AC537" s="28"/>
      <c r="AD537" s="28"/>
      <c r="AE537" s="28"/>
      <c r="AF537" s="28"/>
      <c r="AG537" s="28"/>
      <c r="AH537" s="28"/>
      <c r="AI537" s="28"/>
      <c r="AJ537" s="28"/>
      <c r="AK537" s="28"/>
      <c r="AL537" s="28"/>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row>
    <row r="538" spans="1:114" s="30" customFormat="1" ht="15.75" customHeight="1">
      <c r="A538" s="282" t="s">
        <v>622</v>
      </c>
      <c r="B538" s="283"/>
      <c r="C538" s="283"/>
      <c r="D538" s="283"/>
      <c r="E538" s="22"/>
      <c r="F538" s="23"/>
      <c r="G538" s="23"/>
      <c r="H538" s="23">
        <f>SUM(H532:H537)</f>
        <v>86162799</v>
      </c>
      <c r="I538" s="23"/>
      <c r="J538" s="26"/>
      <c r="K538" s="27"/>
      <c r="L538" s="27"/>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9"/>
      <c r="AN538" s="29"/>
      <c r="AO538" s="29"/>
      <c r="AP538" s="29"/>
      <c r="AQ538" s="29"/>
      <c r="AR538" s="29"/>
      <c r="AS538" s="29"/>
      <c r="AT538" s="29"/>
      <c r="AU538" s="29"/>
      <c r="AV538" s="29"/>
      <c r="AW538" s="29"/>
      <c r="AX538" s="29"/>
      <c r="AY538" s="29"/>
      <c r="AZ538" s="29"/>
      <c r="BA538" s="29"/>
      <c r="BB538" s="29"/>
      <c r="BC538" s="29"/>
      <c r="BD538" s="29"/>
      <c r="BE538" s="29"/>
      <c r="BF538" s="29"/>
      <c r="BG538" s="29"/>
      <c r="BH538" s="29"/>
      <c r="BI538" s="29"/>
      <c r="BJ538" s="29"/>
      <c r="BK538" s="29"/>
      <c r="BL538" s="29"/>
      <c r="BM538" s="29"/>
      <c r="BN538" s="29"/>
      <c r="BO538" s="29"/>
      <c r="BP538" s="29"/>
      <c r="BQ538" s="29"/>
      <c r="BR538" s="29"/>
      <c r="BS538" s="29"/>
      <c r="BT538" s="29"/>
      <c r="BU538" s="29"/>
      <c r="BV538" s="29"/>
      <c r="BW538" s="29"/>
      <c r="BX538" s="29"/>
      <c r="BY538" s="29"/>
      <c r="BZ538" s="29"/>
      <c r="CA538" s="29"/>
      <c r="CB538" s="29"/>
      <c r="CC538" s="29"/>
      <c r="CD538" s="29"/>
      <c r="CE538" s="29"/>
      <c r="CF538" s="29"/>
      <c r="CG538" s="29"/>
      <c r="CH538" s="29"/>
      <c r="CI538" s="29"/>
      <c r="CJ538" s="29"/>
      <c r="CK538" s="29"/>
      <c r="CL538" s="29"/>
      <c r="CM538" s="29"/>
      <c r="CN538" s="29"/>
      <c r="CO538" s="29"/>
      <c r="CP538" s="29"/>
      <c r="CQ538" s="29"/>
      <c r="CR538" s="29"/>
      <c r="CS538" s="29"/>
      <c r="CT538" s="29"/>
      <c r="CU538" s="29"/>
      <c r="CV538" s="29"/>
      <c r="CW538" s="29"/>
      <c r="CX538" s="29"/>
      <c r="CY538" s="29"/>
      <c r="CZ538" s="29"/>
      <c r="DA538" s="29"/>
      <c r="DB538" s="29"/>
      <c r="DC538" s="29"/>
      <c r="DD538" s="29"/>
      <c r="DE538" s="29"/>
      <c r="DF538" s="29"/>
      <c r="DG538" s="29"/>
      <c r="DH538" s="29"/>
      <c r="DI538" s="29"/>
      <c r="DJ538" s="29"/>
    </row>
    <row r="539" spans="1:115" s="71" customFormat="1" ht="30" customHeight="1">
      <c r="A539" s="82">
        <f>A537+1</f>
        <v>415</v>
      </c>
      <c r="B539" s="83">
        <f>B537+1</f>
        <v>10</v>
      </c>
      <c r="C539" s="84" t="s">
        <v>784</v>
      </c>
      <c r="D539" s="224" t="s">
        <v>1016</v>
      </c>
      <c r="E539" s="84" t="s">
        <v>633</v>
      </c>
      <c r="F539" s="86"/>
      <c r="G539" s="87"/>
      <c r="H539" s="88">
        <v>3604240</v>
      </c>
      <c r="I539" s="89" t="s">
        <v>805</v>
      </c>
      <c r="J539" s="26"/>
      <c r="K539" s="43"/>
      <c r="L539" s="27"/>
      <c r="M539" s="27"/>
      <c r="N539" s="27"/>
      <c r="O539" s="27"/>
      <c r="P539" s="27"/>
      <c r="Q539" s="27"/>
      <c r="R539" s="27"/>
      <c r="S539" s="27"/>
      <c r="T539" s="27"/>
      <c r="U539" s="27"/>
      <c r="V539" s="28"/>
      <c r="W539" s="28"/>
      <c r="X539" s="28"/>
      <c r="Y539" s="28"/>
      <c r="Z539" s="28"/>
      <c r="AA539" s="28"/>
      <c r="AB539" s="28"/>
      <c r="AC539" s="28"/>
      <c r="AD539" s="28"/>
      <c r="AE539" s="28"/>
      <c r="AF539" s="28"/>
      <c r="AG539" s="28"/>
      <c r="AH539" s="28"/>
      <c r="AI539" s="28"/>
      <c r="AJ539" s="28"/>
      <c r="AK539" s="28"/>
      <c r="AL539" s="28"/>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70"/>
    </row>
    <row r="540" spans="1:114" s="30" customFormat="1" ht="15.75" customHeight="1">
      <c r="A540" s="282" t="s">
        <v>773</v>
      </c>
      <c r="B540" s="283"/>
      <c r="C540" s="283"/>
      <c r="D540" s="283"/>
      <c r="E540" s="22"/>
      <c r="F540" s="23"/>
      <c r="G540" s="23"/>
      <c r="H540" s="23">
        <f>H539</f>
        <v>3604240</v>
      </c>
      <c r="I540" s="23"/>
      <c r="J540" s="26"/>
      <c r="K540" s="27"/>
      <c r="L540" s="27"/>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row>
    <row r="541" spans="1:115" s="71" customFormat="1" ht="22.5" customHeight="1">
      <c r="A541" s="82">
        <f>A539+1</f>
        <v>416</v>
      </c>
      <c r="B541" s="83">
        <f>B539+1</f>
        <v>11</v>
      </c>
      <c r="C541" s="84" t="s">
        <v>1023</v>
      </c>
      <c r="D541" s="224" t="s">
        <v>1065</v>
      </c>
      <c r="E541" s="84" t="s">
        <v>633</v>
      </c>
      <c r="F541" s="86"/>
      <c r="G541" s="87"/>
      <c r="H541" s="88">
        <v>25250000</v>
      </c>
      <c r="I541" s="89"/>
      <c r="J541" s="26"/>
      <c r="K541" s="43"/>
      <c r="L541" s="27"/>
      <c r="M541" s="27"/>
      <c r="N541" s="27"/>
      <c r="O541" s="27"/>
      <c r="P541" s="27"/>
      <c r="Q541" s="27"/>
      <c r="R541" s="27"/>
      <c r="S541" s="27"/>
      <c r="T541" s="27"/>
      <c r="U541" s="27"/>
      <c r="V541" s="28"/>
      <c r="W541" s="28"/>
      <c r="X541" s="28"/>
      <c r="Y541" s="28"/>
      <c r="Z541" s="28"/>
      <c r="AA541" s="28"/>
      <c r="AB541" s="28"/>
      <c r="AC541" s="28"/>
      <c r="AD541" s="28"/>
      <c r="AE541" s="28"/>
      <c r="AF541" s="28"/>
      <c r="AG541" s="28"/>
      <c r="AH541" s="28"/>
      <c r="AI541" s="28"/>
      <c r="AJ541" s="28"/>
      <c r="AK541" s="28"/>
      <c r="AL541" s="28"/>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70"/>
    </row>
    <row r="542" spans="1:114" s="30" customFormat="1" ht="15.75" customHeight="1">
      <c r="A542" s="282" t="s">
        <v>841</v>
      </c>
      <c r="B542" s="283"/>
      <c r="C542" s="283"/>
      <c r="D542" s="283"/>
      <c r="E542" s="22"/>
      <c r="F542" s="23"/>
      <c r="G542" s="23"/>
      <c r="H542" s="23">
        <f>H541</f>
        <v>25250000</v>
      </c>
      <c r="I542" s="23"/>
      <c r="J542" s="26"/>
      <c r="K542" s="27"/>
      <c r="L542" s="27"/>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row>
    <row r="543" spans="1:115" s="71" customFormat="1" ht="31.5" customHeight="1">
      <c r="A543" s="82">
        <f>A541+1</f>
        <v>417</v>
      </c>
      <c r="B543" s="83">
        <f>B541+1</f>
        <v>12</v>
      </c>
      <c r="C543" s="84" t="s">
        <v>1074</v>
      </c>
      <c r="D543" s="224" t="s">
        <v>1075</v>
      </c>
      <c r="E543" s="84" t="s">
        <v>633</v>
      </c>
      <c r="F543" s="86"/>
      <c r="G543" s="87"/>
      <c r="H543" s="88">
        <v>49400000</v>
      </c>
      <c r="I543" s="89"/>
      <c r="J543" s="26"/>
      <c r="K543" s="43"/>
      <c r="L543" s="27"/>
      <c r="M543" s="27"/>
      <c r="N543" s="27"/>
      <c r="O543" s="27"/>
      <c r="P543" s="27"/>
      <c r="Q543" s="27"/>
      <c r="R543" s="27"/>
      <c r="S543" s="27"/>
      <c r="T543" s="27"/>
      <c r="U543" s="27"/>
      <c r="V543" s="28"/>
      <c r="W543" s="28"/>
      <c r="X543" s="28"/>
      <c r="Y543" s="28"/>
      <c r="Z543" s="28"/>
      <c r="AA543" s="28"/>
      <c r="AB543" s="28"/>
      <c r="AC543" s="28"/>
      <c r="AD543" s="28"/>
      <c r="AE543" s="28"/>
      <c r="AF543" s="28"/>
      <c r="AG543" s="28"/>
      <c r="AH543" s="28"/>
      <c r="AI543" s="28"/>
      <c r="AJ543" s="28"/>
      <c r="AK543" s="28"/>
      <c r="AL543" s="28"/>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70"/>
    </row>
    <row r="544" spans="1:115" s="71" customFormat="1" ht="27" customHeight="1">
      <c r="A544" s="82">
        <f aca="true" t="shared" si="39" ref="A544:B547">A543+1</f>
        <v>418</v>
      </c>
      <c r="B544" s="83">
        <f t="shared" si="39"/>
        <v>13</v>
      </c>
      <c r="C544" s="84" t="s">
        <v>1074</v>
      </c>
      <c r="D544" s="224" t="s">
        <v>1076</v>
      </c>
      <c r="E544" s="84" t="s">
        <v>633</v>
      </c>
      <c r="F544" s="86"/>
      <c r="G544" s="87"/>
      <c r="H544" s="88">
        <v>55300000</v>
      </c>
      <c r="I544" s="89"/>
      <c r="J544" s="26"/>
      <c r="K544" s="43"/>
      <c r="L544" s="27"/>
      <c r="M544" s="27"/>
      <c r="N544" s="27"/>
      <c r="O544" s="27"/>
      <c r="P544" s="27"/>
      <c r="Q544" s="27"/>
      <c r="R544" s="27"/>
      <c r="S544" s="27"/>
      <c r="T544" s="27"/>
      <c r="U544" s="27"/>
      <c r="V544" s="28"/>
      <c r="W544" s="28"/>
      <c r="X544" s="28"/>
      <c r="Y544" s="28"/>
      <c r="Z544" s="28"/>
      <c r="AA544" s="28"/>
      <c r="AB544" s="28"/>
      <c r="AC544" s="28"/>
      <c r="AD544" s="28"/>
      <c r="AE544" s="28"/>
      <c r="AF544" s="28"/>
      <c r="AG544" s="28"/>
      <c r="AH544" s="28"/>
      <c r="AI544" s="28"/>
      <c r="AJ544" s="28"/>
      <c r="AK544" s="28"/>
      <c r="AL544" s="28"/>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70"/>
    </row>
    <row r="545" spans="1:115" s="71" customFormat="1" ht="33.75" customHeight="1">
      <c r="A545" s="82">
        <f t="shared" si="39"/>
        <v>419</v>
      </c>
      <c r="B545" s="83">
        <f t="shared" si="39"/>
        <v>14</v>
      </c>
      <c r="C545" s="84" t="s">
        <v>1074</v>
      </c>
      <c r="D545" s="224" t="s">
        <v>1077</v>
      </c>
      <c r="E545" s="84" t="s">
        <v>633</v>
      </c>
      <c r="F545" s="86"/>
      <c r="G545" s="87"/>
      <c r="H545" s="88">
        <v>42300000</v>
      </c>
      <c r="I545" s="89"/>
      <c r="J545" s="26"/>
      <c r="K545" s="43"/>
      <c r="L545" s="27"/>
      <c r="M545" s="27"/>
      <c r="N545" s="27"/>
      <c r="O545" s="27"/>
      <c r="P545" s="27"/>
      <c r="Q545" s="27"/>
      <c r="R545" s="27"/>
      <c r="S545" s="27"/>
      <c r="T545" s="27"/>
      <c r="U545" s="27"/>
      <c r="V545" s="28"/>
      <c r="W545" s="28"/>
      <c r="X545" s="28"/>
      <c r="Y545" s="28"/>
      <c r="Z545" s="28"/>
      <c r="AA545" s="28"/>
      <c r="AB545" s="28"/>
      <c r="AC545" s="28"/>
      <c r="AD545" s="28"/>
      <c r="AE545" s="28"/>
      <c r="AF545" s="28"/>
      <c r="AG545" s="28"/>
      <c r="AH545" s="28"/>
      <c r="AI545" s="28"/>
      <c r="AJ545" s="28"/>
      <c r="AK545" s="28"/>
      <c r="AL545" s="28"/>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70"/>
    </row>
    <row r="546" spans="1:115" s="71" customFormat="1" ht="32.25" customHeight="1">
      <c r="A546" s="82">
        <f t="shared" si="39"/>
        <v>420</v>
      </c>
      <c r="B546" s="83">
        <f t="shared" si="39"/>
        <v>15</v>
      </c>
      <c r="C546" s="84" t="s">
        <v>1074</v>
      </c>
      <c r="D546" s="224" t="s">
        <v>1078</v>
      </c>
      <c r="E546" s="84" t="s">
        <v>633</v>
      </c>
      <c r="F546" s="86"/>
      <c r="G546" s="87"/>
      <c r="H546" s="88">
        <v>31500000</v>
      </c>
      <c r="I546" s="89"/>
      <c r="J546" s="26"/>
      <c r="K546" s="43"/>
      <c r="L546" s="27"/>
      <c r="M546" s="27"/>
      <c r="N546" s="27"/>
      <c r="O546" s="27"/>
      <c r="P546" s="27"/>
      <c r="Q546" s="27"/>
      <c r="R546" s="27"/>
      <c r="S546" s="27"/>
      <c r="T546" s="27"/>
      <c r="U546" s="27"/>
      <c r="V546" s="28"/>
      <c r="W546" s="28"/>
      <c r="X546" s="28"/>
      <c r="Y546" s="28"/>
      <c r="Z546" s="28"/>
      <c r="AA546" s="28"/>
      <c r="AB546" s="28"/>
      <c r="AC546" s="28"/>
      <c r="AD546" s="28"/>
      <c r="AE546" s="28"/>
      <c r="AF546" s="28"/>
      <c r="AG546" s="28"/>
      <c r="AH546" s="28"/>
      <c r="AI546" s="28"/>
      <c r="AJ546" s="28"/>
      <c r="AK546" s="28"/>
      <c r="AL546" s="28"/>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70"/>
    </row>
    <row r="547" spans="1:115" s="71" customFormat="1" ht="32.25" customHeight="1">
      <c r="A547" s="82">
        <f>A546+1</f>
        <v>421</v>
      </c>
      <c r="B547" s="83">
        <f t="shared" si="39"/>
        <v>16</v>
      </c>
      <c r="C547" s="84" t="s">
        <v>1082</v>
      </c>
      <c r="D547" s="224" t="s">
        <v>1083</v>
      </c>
      <c r="E547" s="84" t="s">
        <v>633</v>
      </c>
      <c r="F547" s="86"/>
      <c r="G547" s="87"/>
      <c r="H547" s="88">
        <v>250000000</v>
      </c>
      <c r="I547" s="89"/>
      <c r="J547" s="26"/>
      <c r="K547" s="43"/>
      <c r="L547" s="27"/>
      <c r="M547" s="27"/>
      <c r="N547" s="27"/>
      <c r="O547" s="27"/>
      <c r="P547" s="27"/>
      <c r="Q547" s="27"/>
      <c r="R547" s="27"/>
      <c r="S547" s="27"/>
      <c r="T547" s="27"/>
      <c r="U547" s="27"/>
      <c r="V547" s="28"/>
      <c r="W547" s="28"/>
      <c r="X547" s="28"/>
      <c r="Y547" s="28"/>
      <c r="Z547" s="28"/>
      <c r="AA547" s="28"/>
      <c r="AB547" s="28"/>
      <c r="AC547" s="28"/>
      <c r="AD547" s="28"/>
      <c r="AE547" s="28"/>
      <c r="AF547" s="28"/>
      <c r="AG547" s="28"/>
      <c r="AH547" s="28"/>
      <c r="AI547" s="28"/>
      <c r="AJ547" s="28"/>
      <c r="AK547" s="28"/>
      <c r="AL547" s="28"/>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70"/>
    </row>
    <row r="548" spans="1:114" s="30" customFormat="1" ht="15.75" customHeight="1">
      <c r="A548" s="282" t="s">
        <v>1093</v>
      </c>
      <c r="B548" s="283"/>
      <c r="C548" s="283"/>
      <c r="D548" s="283"/>
      <c r="E548" s="22"/>
      <c r="F548" s="23"/>
      <c r="G548" s="23"/>
      <c r="H548" s="23">
        <f>SUM(H543:H547)</f>
        <v>428500000</v>
      </c>
      <c r="I548" s="23"/>
      <c r="J548" s="26"/>
      <c r="K548" s="27"/>
      <c r="L548" s="27"/>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row>
    <row r="549" spans="1:115" s="71" customFormat="1" ht="32.25" customHeight="1">
      <c r="A549" s="268">
        <f>A547+1</f>
        <v>422</v>
      </c>
      <c r="B549" s="269">
        <f>B547+1</f>
        <v>17</v>
      </c>
      <c r="C549" s="198" t="s">
        <v>1113</v>
      </c>
      <c r="D549" s="266" t="s">
        <v>1109</v>
      </c>
      <c r="E549" s="198" t="s">
        <v>633</v>
      </c>
      <c r="F549" s="200"/>
      <c r="G549" s="201"/>
      <c r="H549" s="267">
        <f>104555275.37+46030252.1+96789533.15</f>
        <v>247375060.62</v>
      </c>
      <c r="I549" s="202" t="s">
        <v>1116</v>
      </c>
      <c r="J549" s="26"/>
      <c r="K549" s="43"/>
      <c r="L549" s="27"/>
      <c r="M549" s="27"/>
      <c r="N549" s="27"/>
      <c r="O549" s="27"/>
      <c r="P549" s="27"/>
      <c r="Q549" s="27"/>
      <c r="R549" s="27"/>
      <c r="S549" s="27"/>
      <c r="T549" s="27"/>
      <c r="U549" s="27"/>
      <c r="V549" s="28"/>
      <c r="W549" s="28"/>
      <c r="X549" s="28"/>
      <c r="Y549" s="28"/>
      <c r="Z549" s="28"/>
      <c r="AA549" s="28"/>
      <c r="AB549" s="28"/>
      <c r="AC549" s="28"/>
      <c r="AD549" s="28"/>
      <c r="AE549" s="28"/>
      <c r="AF549" s="28"/>
      <c r="AG549" s="28"/>
      <c r="AH549" s="28"/>
      <c r="AI549" s="28"/>
      <c r="AJ549" s="28"/>
      <c r="AK549" s="28"/>
      <c r="AL549" s="28"/>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70"/>
    </row>
    <row r="550" spans="1:115" s="71" customFormat="1" ht="32.25" customHeight="1">
      <c r="A550" s="268">
        <f>A549+1</f>
        <v>423</v>
      </c>
      <c r="B550" s="269">
        <f>B549+1</f>
        <v>18</v>
      </c>
      <c r="C550" s="198" t="s">
        <v>1113</v>
      </c>
      <c r="D550" s="266" t="s">
        <v>1110</v>
      </c>
      <c r="E550" s="198" t="s">
        <v>633</v>
      </c>
      <c r="F550" s="200"/>
      <c r="G550" s="201"/>
      <c r="H550" s="267">
        <f>105392054.33+131007824.67+54445840.12</f>
        <v>290845719.12</v>
      </c>
      <c r="I550" s="202" t="s">
        <v>1117</v>
      </c>
      <c r="J550" s="26"/>
      <c r="K550" s="43"/>
      <c r="L550" s="27"/>
      <c r="M550" s="27"/>
      <c r="N550" s="27"/>
      <c r="O550" s="27"/>
      <c r="P550" s="27"/>
      <c r="Q550" s="27"/>
      <c r="R550" s="27"/>
      <c r="S550" s="27"/>
      <c r="T550" s="27"/>
      <c r="U550" s="27"/>
      <c r="V550" s="28"/>
      <c r="W550" s="28"/>
      <c r="X550" s="28"/>
      <c r="Y550" s="28"/>
      <c r="Z550" s="28"/>
      <c r="AA550" s="28"/>
      <c r="AB550" s="28"/>
      <c r="AC550" s="28"/>
      <c r="AD550" s="28"/>
      <c r="AE550" s="28"/>
      <c r="AF550" s="28"/>
      <c r="AG550" s="28"/>
      <c r="AH550" s="28"/>
      <c r="AI550" s="28"/>
      <c r="AJ550" s="28"/>
      <c r="AK550" s="28"/>
      <c r="AL550" s="28"/>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70"/>
    </row>
    <row r="551" spans="1:114" s="30" customFormat="1" ht="15.75" customHeight="1">
      <c r="A551" s="282" t="s">
        <v>1104</v>
      </c>
      <c r="B551" s="283"/>
      <c r="C551" s="283"/>
      <c r="D551" s="283"/>
      <c r="E551" s="22"/>
      <c r="F551" s="23"/>
      <c r="G551" s="23"/>
      <c r="H551" s="23">
        <f>SUM(H549:H550)</f>
        <v>538220779.74</v>
      </c>
      <c r="I551" s="23"/>
      <c r="J551" s="26"/>
      <c r="K551" s="27"/>
      <c r="L551" s="27"/>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row>
    <row r="552" spans="1:114" s="38" customFormat="1" ht="15.75" customHeight="1">
      <c r="A552" s="90"/>
      <c r="B552" s="90"/>
      <c r="C552" s="91"/>
      <c r="D552" s="90"/>
      <c r="E552" s="91"/>
      <c r="F552" s="93"/>
      <c r="G552" s="94"/>
      <c r="H552" s="74"/>
      <c r="I552" s="218"/>
      <c r="J552" s="26"/>
      <c r="K552" s="43"/>
      <c r="L552" s="27"/>
      <c r="M552" s="27"/>
      <c r="N552" s="27"/>
      <c r="O552" s="27"/>
      <c r="P552" s="27"/>
      <c r="Q552" s="27"/>
      <c r="R552" s="27"/>
      <c r="S552" s="27"/>
      <c r="T552" s="27"/>
      <c r="U552" s="27"/>
      <c r="V552" s="28"/>
      <c r="W552" s="28"/>
      <c r="X552" s="28"/>
      <c r="Y552" s="28"/>
      <c r="Z552" s="28"/>
      <c r="AA552" s="28"/>
      <c r="AB552" s="28"/>
      <c r="AC552" s="28"/>
      <c r="AD552" s="28"/>
      <c r="AE552" s="28"/>
      <c r="AF552" s="28"/>
      <c r="AG552" s="28"/>
      <c r="AH552" s="28"/>
      <c r="AI552" s="28"/>
      <c r="AJ552" s="28"/>
      <c r="AK552" s="28"/>
      <c r="AL552" s="28"/>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row>
    <row r="553" spans="1:114" s="30" customFormat="1" ht="15.75" customHeight="1">
      <c r="A553" s="282" t="s">
        <v>783</v>
      </c>
      <c r="B553" s="283"/>
      <c r="C553" s="283"/>
      <c r="D553" s="283"/>
      <c r="E553" s="22"/>
      <c r="F553" s="23"/>
      <c r="G553" s="23"/>
      <c r="H553" s="24">
        <f>H527+H529+H531+H538+H540+H542+H548+H551</f>
        <v>1150986049.74</v>
      </c>
      <c r="I553" s="25"/>
      <c r="J553" s="26"/>
      <c r="K553" s="27"/>
      <c r="L553" s="27"/>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row>
    <row r="554" spans="1:114" s="38" customFormat="1" ht="15.75" customHeight="1" thickBot="1">
      <c r="A554" s="90"/>
      <c r="B554" s="90"/>
      <c r="C554" s="91"/>
      <c r="D554" s="90"/>
      <c r="E554" s="91"/>
      <c r="F554" s="93"/>
      <c r="G554" s="94"/>
      <c r="H554" s="74"/>
      <c r="I554" s="218"/>
      <c r="J554" s="26"/>
      <c r="K554" s="43"/>
      <c r="L554" s="27"/>
      <c r="M554" s="27"/>
      <c r="N554" s="27"/>
      <c r="O554" s="27"/>
      <c r="P554" s="27"/>
      <c r="Q554" s="27"/>
      <c r="R554" s="27"/>
      <c r="S554" s="27"/>
      <c r="T554" s="27"/>
      <c r="U554" s="27"/>
      <c r="V554" s="28"/>
      <c r="W554" s="28"/>
      <c r="X554" s="28"/>
      <c r="Y554" s="28"/>
      <c r="Z554" s="28"/>
      <c r="AA554" s="28"/>
      <c r="AB554" s="28"/>
      <c r="AC554" s="28"/>
      <c r="AD554" s="28"/>
      <c r="AE554" s="28"/>
      <c r="AF554" s="28"/>
      <c r="AG554" s="28"/>
      <c r="AH554" s="28"/>
      <c r="AI554" s="28"/>
      <c r="AJ554" s="28"/>
      <c r="AK554" s="28"/>
      <c r="AL554" s="28"/>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row>
    <row r="555" spans="1:114" s="38" customFormat="1" ht="24.75" customHeight="1" thickBot="1">
      <c r="A555" s="279" t="s">
        <v>786</v>
      </c>
      <c r="B555" s="280"/>
      <c r="C555" s="280"/>
      <c r="D555" s="280"/>
      <c r="E555" s="280"/>
      <c r="F555" s="280"/>
      <c r="G555" s="280"/>
      <c r="H555" s="280"/>
      <c r="I555" s="281"/>
      <c r="J555" s="37"/>
      <c r="K555" s="27"/>
      <c r="L555" s="27"/>
      <c r="M555" s="27"/>
      <c r="N555" s="27"/>
      <c r="O555" s="27"/>
      <c r="P555" s="27"/>
      <c r="Q555" s="27"/>
      <c r="R555" s="27"/>
      <c r="S555" s="27"/>
      <c r="T555" s="27"/>
      <c r="U555" s="27"/>
      <c r="V555" s="28"/>
      <c r="W555" s="28"/>
      <c r="X555" s="28"/>
      <c r="Y555" s="28"/>
      <c r="Z555" s="28"/>
      <c r="AA555" s="28"/>
      <c r="AB555" s="28"/>
      <c r="AC555" s="28"/>
      <c r="AD555" s="28"/>
      <c r="AE555" s="28"/>
      <c r="AF555" s="28"/>
      <c r="AG555" s="28"/>
      <c r="AH555" s="28"/>
      <c r="AI555" s="28"/>
      <c r="AJ555" s="28"/>
      <c r="AK555" s="28"/>
      <c r="AL555" s="28"/>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row>
    <row r="556" spans="1:38" s="29" customFormat="1" ht="19.5" customHeight="1">
      <c r="A556" s="75">
        <f>A550+1</f>
        <v>424</v>
      </c>
      <c r="B556" s="76">
        <v>1</v>
      </c>
      <c r="C556" s="77" t="s">
        <v>302</v>
      </c>
      <c r="D556" s="78" t="s">
        <v>1017</v>
      </c>
      <c r="E556" s="77" t="s">
        <v>598</v>
      </c>
      <c r="F556" s="98">
        <v>176420050</v>
      </c>
      <c r="G556" s="99"/>
      <c r="H556" s="79">
        <v>54940000</v>
      </c>
      <c r="I556" s="81"/>
      <c r="J556" s="26"/>
      <c r="K556" s="43"/>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row>
    <row r="557" spans="1:38" s="29" customFormat="1" ht="19.5" customHeight="1">
      <c r="A557" s="123">
        <f aca="true" t="shared" si="40" ref="A557:B561">A556+1</f>
        <v>425</v>
      </c>
      <c r="B557" s="101">
        <f t="shared" si="40"/>
        <v>2</v>
      </c>
      <c r="C557" s="102" t="s">
        <v>272</v>
      </c>
      <c r="D557" s="103" t="s">
        <v>799</v>
      </c>
      <c r="E557" s="102" t="s">
        <v>45</v>
      </c>
      <c r="F557" s="104">
        <v>1243719</v>
      </c>
      <c r="G557" s="105"/>
      <c r="H557" s="106">
        <v>12400000</v>
      </c>
      <c r="I557" s="107"/>
      <c r="J557" s="26"/>
      <c r="K557" s="43"/>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row>
    <row r="558" spans="1:114" s="38" customFormat="1" ht="19.5" customHeight="1">
      <c r="A558" s="82">
        <f t="shared" si="40"/>
        <v>426</v>
      </c>
      <c r="B558" s="83">
        <f t="shared" si="40"/>
        <v>3</v>
      </c>
      <c r="C558" s="84" t="s">
        <v>626</v>
      </c>
      <c r="D558" s="85" t="s">
        <v>855</v>
      </c>
      <c r="E558" s="84" t="s">
        <v>598</v>
      </c>
      <c r="F558" s="86"/>
      <c r="G558" s="87"/>
      <c r="H558" s="88">
        <v>180000000</v>
      </c>
      <c r="I558" s="89"/>
      <c r="J558" s="26"/>
      <c r="K558" s="43"/>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row>
    <row r="559" spans="1:114" s="38" customFormat="1" ht="19.5" customHeight="1">
      <c r="A559" s="82">
        <f t="shared" si="40"/>
        <v>427</v>
      </c>
      <c r="B559" s="83">
        <f t="shared" si="40"/>
        <v>4</v>
      </c>
      <c r="C559" s="84" t="s">
        <v>1035</v>
      </c>
      <c r="D559" s="85" t="s">
        <v>1034</v>
      </c>
      <c r="E559" s="84" t="s">
        <v>598</v>
      </c>
      <c r="F559" s="86"/>
      <c r="G559" s="87"/>
      <c r="H559" s="88">
        <v>700000000</v>
      </c>
      <c r="I559" s="89"/>
      <c r="J559" s="26"/>
      <c r="K559" s="43"/>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8"/>
      <c r="AL559" s="28"/>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row>
    <row r="560" spans="1:114" s="30" customFormat="1" ht="21.75" customHeight="1">
      <c r="A560" s="75">
        <f t="shared" si="40"/>
        <v>428</v>
      </c>
      <c r="B560" s="83">
        <f t="shared" si="40"/>
        <v>5</v>
      </c>
      <c r="C560" s="128" t="s">
        <v>1058</v>
      </c>
      <c r="D560" s="142" t="s">
        <v>1062</v>
      </c>
      <c r="E560" s="128" t="s">
        <v>1059</v>
      </c>
      <c r="F560" s="130"/>
      <c r="G560" s="131"/>
      <c r="H560" s="159">
        <v>4134312</v>
      </c>
      <c r="I560" s="134"/>
      <c r="J560" s="26"/>
      <c r="K560" s="43"/>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row>
    <row r="561" spans="1:114" s="30" customFormat="1" ht="24" customHeight="1">
      <c r="A561" s="75">
        <f t="shared" si="40"/>
        <v>429</v>
      </c>
      <c r="B561" s="83">
        <f t="shared" si="40"/>
        <v>6</v>
      </c>
      <c r="C561" s="128" t="s">
        <v>1060</v>
      </c>
      <c r="D561" s="142" t="s">
        <v>1068</v>
      </c>
      <c r="E561" s="128" t="s">
        <v>1061</v>
      </c>
      <c r="F561" s="298" t="s">
        <v>1122</v>
      </c>
      <c r="G561" s="131"/>
      <c r="H561" s="297" t="s">
        <v>1122</v>
      </c>
      <c r="I561" s="134"/>
      <c r="J561" s="26"/>
      <c r="K561" s="43"/>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8"/>
      <c r="AL561" s="28"/>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row>
    <row r="562" spans="1:114" s="30" customFormat="1" ht="15.75" customHeight="1">
      <c r="A562" s="282" t="s">
        <v>787</v>
      </c>
      <c r="B562" s="283"/>
      <c r="C562" s="283"/>
      <c r="D562" s="283"/>
      <c r="E562" s="22"/>
      <c r="F562" s="23">
        <f>F556+F557</f>
        <v>177663769</v>
      </c>
      <c r="G562" s="23"/>
      <c r="H562" s="24">
        <f>SUM(H556:H560)</f>
        <v>951474312</v>
      </c>
      <c r="I562" s="25"/>
      <c r="J562" s="26"/>
      <c r="K562" s="27"/>
      <c r="L562" s="27"/>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row>
    <row r="563" spans="1:114" s="38" customFormat="1" ht="15.75" customHeight="1" thickBot="1">
      <c r="A563" s="90"/>
      <c r="B563" s="90"/>
      <c r="C563" s="91"/>
      <c r="D563" s="90"/>
      <c r="E563" s="91"/>
      <c r="F563" s="93"/>
      <c r="G563" s="94"/>
      <c r="H563" s="74"/>
      <c r="I563" s="218"/>
      <c r="J563" s="26"/>
      <c r="K563" s="43"/>
      <c r="L563" s="27"/>
      <c r="M563" s="27"/>
      <c r="N563" s="27"/>
      <c r="O563" s="27"/>
      <c r="P563" s="27"/>
      <c r="Q563" s="27"/>
      <c r="R563" s="27"/>
      <c r="S563" s="27"/>
      <c r="T563" s="27"/>
      <c r="U563" s="27"/>
      <c r="V563" s="28"/>
      <c r="W563" s="28"/>
      <c r="X563" s="28"/>
      <c r="Y563" s="28"/>
      <c r="Z563" s="28"/>
      <c r="AA563" s="28"/>
      <c r="AB563" s="28"/>
      <c r="AC563" s="28"/>
      <c r="AD563" s="28"/>
      <c r="AE563" s="28"/>
      <c r="AF563" s="28"/>
      <c r="AG563" s="28"/>
      <c r="AH563" s="28"/>
      <c r="AI563" s="28"/>
      <c r="AJ563" s="28"/>
      <c r="AK563" s="28"/>
      <c r="AL563" s="28"/>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row>
    <row r="564" spans="1:114" s="38" customFormat="1" ht="24.75" customHeight="1" thickBot="1">
      <c r="A564" s="279" t="s">
        <v>818</v>
      </c>
      <c r="B564" s="280"/>
      <c r="C564" s="280"/>
      <c r="D564" s="280"/>
      <c r="E564" s="280"/>
      <c r="F564" s="280"/>
      <c r="G564" s="280"/>
      <c r="H564" s="280"/>
      <c r="I564" s="281"/>
      <c r="J564" s="37"/>
      <c r="K564" s="27"/>
      <c r="L564" s="27"/>
      <c r="M564" s="27"/>
      <c r="N564" s="27"/>
      <c r="O564" s="27"/>
      <c r="P564" s="27"/>
      <c r="Q564" s="27"/>
      <c r="R564" s="27"/>
      <c r="S564" s="27"/>
      <c r="T564" s="27"/>
      <c r="U564" s="27"/>
      <c r="V564" s="28"/>
      <c r="W564" s="28"/>
      <c r="X564" s="28"/>
      <c r="Y564" s="28"/>
      <c r="Z564" s="28"/>
      <c r="AA564" s="28"/>
      <c r="AB564" s="28"/>
      <c r="AC564" s="28"/>
      <c r="AD564" s="28"/>
      <c r="AE564" s="28"/>
      <c r="AF564" s="28"/>
      <c r="AG564" s="28"/>
      <c r="AH564" s="28"/>
      <c r="AI564" s="28"/>
      <c r="AJ564" s="28"/>
      <c r="AK564" s="28"/>
      <c r="AL564" s="28"/>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row>
    <row r="565" spans="7:10" s="90" customFormat="1" ht="6.75" customHeight="1">
      <c r="G565" s="173"/>
      <c r="I565" s="173"/>
      <c r="J565" s="217"/>
    </row>
    <row r="566" spans="1:114" s="38" customFormat="1" ht="25.5" customHeight="1">
      <c r="A566" s="225">
        <f>A561+1</f>
        <v>430</v>
      </c>
      <c r="B566" s="226">
        <v>1</v>
      </c>
      <c r="C566" s="227"/>
      <c r="D566" s="71" t="s">
        <v>744</v>
      </c>
      <c r="E566" s="227" t="s">
        <v>811</v>
      </c>
      <c r="F566" s="228"/>
      <c r="G566" s="229"/>
      <c r="H566" s="230"/>
      <c r="I566" s="231"/>
      <c r="J566" s="26"/>
      <c r="K566" s="43"/>
      <c r="L566" s="27"/>
      <c r="M566" s="27"/>
      <c r="N566" s="27"/>
      <c r="O566" s="27"/>
      <c r="P566" s="27"/>
      <c r="Q566" s="27"/>
      <c r="R566" s="27"/>
      <c r="S566" s="27"/>
      <c r="T566" s="27"/>
      <c r="U566" s="27"/>
      <c r="V566" s="28"/>
      <c r="W566" s="28"/>
      <c r="X566" s="28"/>
      <c r="Y566" s="28"/>
      <c r="Z566" s="28"/>
      <c r="AA566" s="28"/>
      <c r="AB566" s="28"/>
      <c r="AC566" s="28"/>
      <c r="AD566" s="28"/>
      <c r="AE566" s="28"/>
      <c r="AF566" s="28"/>
      <c r="AG566" s="28"/>
      <c r="AH566" s="28"/>
      <c r="AI566" s="28"/>
      <c r="AJ566" s="28"/>
      <c r="AK566" s="28"/>
      <c r="AL566" s="28"/>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row>
    <row r="567" spans="1:114" s="38" customFormat="1" ht="25.5" customHeight="1">
      <c r="A567" s="225">
        <f>A566+1</f>
        <v>431</v>
      </c>
      <c r="B567" s="226">
        <f>+B566+1</f>
        <v>2</v>
      </c>
      <c r="C567" s="227"/>
      <c r="D567" s="263" t="s">
        <v>1095</v>
      </c>
      <c r="E567" s="227" t="s">
        <v>471</v>
      </c>
      <c r="F567" s="228"/>
      <c r="G567" s="229"/>
      <c r="H567" s="230"/>
      <c r="I567" s="231"/>
      <c r="J567" s="26"/>
      <c r="K567" s="43"/>
      <c r="L567" s="27"/>
      <c r="M567" s="27"/>
      <c r="N567" s="27"/>
      <c r="O567" s="27"/>
      <c r="P567" s="27"/>
      <c r="Q567" s="27"/>
      <c r="R567" s="27"/>
      <c r="S567" s="27"/>
      <c r="T567" s="27"/>
      <c r="U567" s="27"/>
      <c r="V567" s="28"/>
      <c r="W567" s="28"/>
      <c r="X567" s="28"/>
      <c r="Y567" s="28"/>
      <c r="Z567" s="28"/>
      <c r="AA567" s="28"/>
      <c r="AB567" s="28"/>
      <c r="AC567" s="28"/>
      <c r="AD567" s="28"/>
      <c r="AE567" s="28"/>
      <c r="AF567" s="28"/>
      <c r="AG567" s="28"/>
      <c r="AH567" s="28"/>
      <c r="AI567" s="28"/>
      <c r="AJ567" s="28"/>
      <c r="AK567" s="28"/>
      <c r="AL567" s="28"/>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row>
    <row r="568" spans="1:114" s="38" customFormat="1" ht="33" customHeight="1">
      <c r="A568" s="270">
        <f>A567+1</f>
        <v>432</v>
      </c>
      <c r="B568" s="271">
        <f>+B567+1</f>
        <v>3</v>
      </c>
      <c r="C568" s="272"/>
      <c r="D568" s="273" t="s">
        <v>1097</v>
      </c>
      <c r="E568" s="274" t="s">
        <v>1059</v>
      </c>
      <c r="F568" s="275"/>
      <c r="G568" s="276"/>
      <c r="H568" s="277"/>
      <c r="I568" s="278"/>
      <c r="J568" s="26"/>
      <c r="K568" s="43"/>
      <c r="L568" s="27"/>
      <c r="M568" s="27"/>
      <c r="N568" s="27"/>
      <c r="O568" s="27"/>
      <c r="P568" s="27"/>
      <c r="Q568" s="27"/>
      <c r="R568" s="27"/>
      <c r="S568" s="27"/>
      <c r="T568" s="27"/>
      <c r="U568" s="27"/>
      <c r="V568" s="28"/>
      <c r="W568" s="28"/>
      <c r="X568" s="28"/>
      <c r="Y568" s="28"/>
      <c r="Z568" s="28"/>
      <c r="AA568" s="28"/>
      <c r="AB568" s="28"/>
      <c r="AC568" s="28"/>
      <c r="AD568" s="28"/>
      <c r="AE568" s="28"/>
      <c r="AF568" s="28"/>
      <c r="AG568" s="28"/>
      <c r="AH568" s="28"/>
      <c r="AI568" s="28"/>
      <c r="AJ568" s="28"/>
      <c r="AK568" s="28"/>
      <c r="AL568" s="28"/>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row>
    <row r="569" spans="1:114" s="38" customFormat="1" ht="17.25" customHeight="1">
      <c r="A569" s="44"/>
      <c r="B569" s="44"/>
      <c r="C569" s="92"/>
      <c r="D569" s="44"/>
      <c r="E569" s="92"/>
      <c r="F569" s="236"/>
      <c r="G569" s="222"/>
      <c r="H569" s="262"/>
      <c r="I569" s="36"/>
      <c r="J569" s="26"/>
      <c r="K569" s="43"/>
      <c r="L569" s="27"/>
      <c r="M569" s="27"/>
      <c r="N569" s="27"/>
      <c r="O569" s="27"/>
      <c r="P569" s="27"/>
      <c r="Q569" s="27"/>
      <c r="R569" s="27"/>
      <c r="S569" s="27"/>
      <c r="T569" s="27"/>
      <c r="U569" s="27"/>
      <c r="V569" s="28"/>
      <c r="W569" s="28"/>
      <c r="X569" s="28"/>
      <c r="Y569" s="28"/>
      <c r="Z569" s="28"/>
      <c r="AA569" s="28"/>
      <c r="AB569" s="28"/>
      <c r="AC569" s="28"/>
      <c r="AD569" s="28"/>
      <c r="AE569" s="28"/>
      <c r="AF569" s="28"/>
      <c r="AG569" s="28"/>
      <c r="AH569" s="28"/>
      <c r="AI569" s="28"/>
      <c r="AJ569" s="28"/>
      <c r="AK569" s="28"/>
      <c r="AL569" s="28"/>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row>
    <row r="570" spans="1:114" s="38" customFormat="1" ht="15.75" customHeight="1">
      <c r="A570" s="232" t="s">
        <v>152</v>
      </c>
      <c r="B570" s="233"/>
      <c r="C570" s="234"/>
      <c r="D570" s="235"/>
      <c r="E570" s="234"/>
      <c r="F570" s="236"/>
      <c r="G570" s="222"/>
      <c r="H570" s="237"/>
      <c r="I570" s="168"/>
      <c r="J570" s="26"/>
      <c r="K570" s="43"/>
      <c r="L570" s="27"/>
      <c r="M570" s="27"/>
      <c r="N570" s="27"/>
      <c r="O570" s="27"/>
      <c r="P570" s="27"/>
      <c r="Q570" s="27"/>
      <c r="R570" s="27"/>
      <c r="S570" s="27"/>
      <c r="T570" s="27"/>
      <c r="U570" s="27"/>
      <c r="V570" s="28"/>
      <c r="W570" s="28"/>
      <c r="X570" s="28"/>
      <c r="Y570" s="28"/>
      <c r="Z570" s="28"/>
      <c r="AA570" s="28"/>
      <c r="AB570" s="28"/>
      <c r="AC570" s="28"/>
      <c r="AD570" s="28"/>
      <c r="AE570" s="28"/>
      <c r="AF570" s="28"/>
      <c r="AG570" s="28"/>
      <c r="AH570" s="28"/>
      <c r="AI570" s="28"/>
      <c r="AJ570" s="28"/>
      <c r="AK570" s="28"/>
      <c r="AL570" s="28"/>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row>
    <row r="571" spans="1:114" s="38" customFormat="1" ht="10.5" customHeight="1">
      <c r="A571" s="44"/>
      <c r="B571" s="44"/>
      <c r="C571" s="92"/>
      <c r="D571" s="44"/>
      <c r="E571" s="92"/>
      <c r="F571" s="236"/>
      <c r="G571" s="222"/>
      <c r="H571" s="236"/>
      <c r="I571" s="238"/>
      <c r="J571" s="26"/>
      <c r="K571" s="43"/>
      <c r="L571" s="27"/>
      <c r="M571" s="27"/>
      <c r="N571" s="27"/>
      <c r="O571" s="27"/>
      <c r="P571" s="27"/>
      <c r="Q571" s="27"/>
      <c r="R571" s="27"/>
      <c r="S571" s="27"/>
      <c r="T571" s="27"/>
      <c r="U571" s="27"/>
      <c r="V571" s="28"/>
      <c r="W571" s="28"/>
      <c r="X571" s="28"/>
      <c r="Y571" s="28"/>
      <c r="Z571" s="28"/>
      <c r="AA571" s="28"/>
      <c r="AB571" s="28"/>
      <c r="AC571" s="28"/>
      <c r="AD571" s="28"/>
      <c r="AE571" s="28"/>
      <c r="AF571" s="28"/>
      <c r="AG571" s="28"/>
      <c r="AH571" s="28"/>
      <c r="AI571" s="28"/>
      <c r="AJ571" s="28"/>
      <c r="AK571" s="28"/>
      <c r="AL571" s="28"/>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row>
    <row r="572" spans="1:114" s="30" customFormat="1" ht="15.75" customHeight="1">
      <c r="A572" s="282" t="s">
        <v>247</v>
      </c>
      <c r="B572" s="283"/>
      <c r="C572" s="283"/>
      <c r="D572" s="283"/>
      <c r="E572" s="22"/>
      <c r="F572" s="23">
        <f>+F11+F345</f>
        <v>37693847</v>
      </c>
      <c r="G572" s="23"/>
      <c r="H572" s="24">
        <f>+H345</f>
        <v>179000000</v>
      </c>
      <c r="I572" s="25"/>
      <c r="J572" s="26"/>
      <c r="K572" s="27"/>
      <c r="L572" s="27"/>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row>
    <row r="573" spans="1:114" s="30" customFormat="1" ht="15.75" customHeight="1">
      <c r="A573" s="282" t="s">
        <v>248</v>
      </c>
      <c r="B573" s="283"/>
      <c r="C573" s="283"/>
      <c r="D573" s="283"/>
      <c r="E573" s="22"/>
      <c r="F573" s="23">
        <f>F332+F336+F464+F473+F497+F505+F522+F553+F562</f>
        <v>12537599408.030537</v>
      </c>
      <c r="G573" s="23"/>
      <c r="H573" s="24">
        <f>H332+H464+H473+H497+H505+H522+H553+H562</f>
        <v>53609283665.28628</v>
      </c>
      <c r="I573" s="25"/>
      <c r="J573" s="26"/>
      <c r="K573" s="27"/>
      <c r="L573" s="27"/>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row>
    <row r="574" spans="1:114" s="30" customFormat="1" ht="15.75" customHeight="1">
      <c r="A574" s="282" t="s">
        <v>295</v>
      </c>
      <c r="B574" s="283"/>
      <c r="C574" s="283"/>
      <c r="D574" s="283"/>
      <c r="E574" s="22"/>
      <c r="F574" s="23">
        <f>F573+F572</f>
        <v>12575293255.030537</v>
      </c>
      <c r="G574" s="23"/>
      <c r="H574" s="24">
        <f>H573+H572</f>
        <v>53788283665.28628</v>
      </c>
      <c r="I574" s="25"/>
      <c r="J574" s="26"/>
      <c r="K574" s="27"/>
      <c r="L574" s="27"/>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row>
    <row r="575" spans="3:114" s="5" customFormat="1" ht="12.75">
      <c r="C575" s="7"/>
      <c r="E575" s="7"/>
      <c r="F575" s="17"/>
      <c r="G575" s="13"/>
      <c r="I575" s="13"/>
      <c r="J575" s="19"/>
      <c r="K575" s="3"/>
      <c r="L575" s="3"/>
      <c r="M575" s="3"/>
      <c r="N575" s="3"/>
      <c r="O575" s="3"/>
      <c r="P575" s="3"/>
      <c r="Q575" s="3"/>
      <c r="R575" s="3"/>
      <c r="S575" s="3"/>
      <c r="T575" s="3"/>
      <c r="U575" s="3"/>
      <c r="V575" s="1"/>
      <c r="W575" s="1"/>
      <c r="X575" s="1"/>
      <c r="Y575" s="1"/>
      <c r="Z575" s="1"/>
      <c r="AA575" s="1"/>
      <c r="AB575" s="1"/>
      <c r="AC575" s="1"/>
      <c r="AD575" s="1"/>
      <c r="AE575" s="1"/>
      <c r="AF575" s="1"/>
      <c r="AG575" s="1"/>
      <c r="AH575" s="1"/>
      <c r="AI575" s="1"/>
      <c r="AJ575" s="1"/>
      <c r="AK575" s="1"/>
      <c r="AL575" s="1"/>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row>
    <row r="576" spans="1:114" s="38" customFormat="1" ht="12.75">
      <c r="A576" s="247" t="s">
        <v>158</v>
      </c>
      <c r="B576" s="248"/>
      <c r="C576" s="92"/>
      <c r="D576" s="44"/>
      <c r="E576" s="249"/>
      <c r="F576" s="236"/>
      <c r="G576" s="222"/>
      <c r="H576" s="236"/>
      <c r="I576" s="96"/>
      <c r="J576" s="250"/>
      <c r="K576" s="27"/>
      <c r="L576" s="27"/>
      <c r="M576" s="27"/>
      <c r="N576" s="27"/>
      <c r="O576" s="27"/>
      <c r="P576" s="27"/>
      <c r="Q576" s="27"/>
      <c r="R576" s="27"/>
      <c r="S576" s="27"/>
      <c r="T576" s="27"/>
      <c r="U576" s="27"/>
      <c r="V576" s="28"/>
      <c r="W576" s="28"/>
      <c r="X576" s="28"/>
      <c r="Y576" s="28"/>
      <c r="Z576" s="28"/>
      <c r="AA576" s="28"/>
      <c r="AB576" s="28"/>
      <c r="AC576" s="28"/>
      <c r="AD576" s="28"/>
      <c r="AE576" s="28"/>
      <c r="AF576" s="28"/>
      <c r="AG576" s="28"/>
      <c r="AH576" s="28"/>
      <c r="AI576" s="28"/>
      <c r="AJ576" s="28"/>
      <c r="AK576" s="28"/>
      <c r="AL576" s="28"/>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row>
    <row r="577" spans="1:114" s="38" customFormat="1" ht="32.25" customHeight="1">
      <c r="A577" s="240" t="s">
        <v>812</v>
      </c>
      <c r="B577" s="288" t="s">
        <v>813</v>
      </c>
      <c r="C577" s="288"/>
      <c r="D577" s="288"/>
      <c r="E577" s="288"/>
      <c r="F577" s="288"/>
      <c r="G577" s="288"/>
      <c r="H577" s="288"/>
      <c r="I577" s="288"/>
      <c r="J577" s="37"/>
      <c r="K577" s="27"/>
      <c r="L577" s="27"/>
      <c r="M577" s="27"/>
      <c r="N577" s="27"/>
      <c r="O577" s="27"/>
      <c r="P577" s="27"/>
      <c r="Q577" s="27"/>
      <c r="R577" s="27"/>
      <c r="S577" s="27"/>
      <c r="T577" s="27"/>
      <c r="U577" s="27"/>
      <c r="V577" s="28"/>
      <c r="W577" s="28"/>
      <c r="X577" s="28"/>
      <c r="Y577" s="28"/>
      <c r="Z577" s="28"/>
      <c r="AA577" s="28"/>
      <c r="AB577" s="28"/>
      <c r="AC577" s="28"/>
      <c r="AD577" s="28"/>
      <c r="AE577" s="28"/>
      <c r="AF577" s="28"/>
      <c r="AG577" s="28"/>
      <c r="AH577" s="28"/>
      <c r="AI577" s="28"/>
      <c r="AJ577" s="28"/>
      <c r="AK577" s="28"/>
      <c r="AL577" s="28"/>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row>
    <row r="578" spans="1:114" s="38" customFormat="1" ht="30.75" customHeight="1">
      <c r="A578" s="241" t="s">
        <v>814</v>
      </c>
      <c r="B578" s="288" t="s">
        <v>815</v>
      </c>
      <c r="C578" s="288"/>
      <c r="D578" s="288"/>
      <c r="E578" s="288"/>
      <c r="F578" s="288"/>
      <c r="G578" s="288"/>
      <c r="H578" s="288"/>
      <c r="I578" s="288"/>
      <c r="J578" s="37"/>
      <c r="K578" s="27"/>
      <c r="L578" s="27"/>
      <c r="M578" s="27"/>
      <c r="N578" s="27"/>
      <c r="O578" s="27"/>
      <c r="P578" s="27"/>
      <c r="Q578" s="27"/>
      <c r="R578" s="27"/>
      <c r="S578" s="27"/>
      <c r="T578" s="27"/>
      <c r="U578" s="27"/>
      <c r="V578" s="28"/>
      <c r="W578" s="28"/>
      <c r="X578" s="28"/>
      <c r="Y578" s="28"/>
      <c r="Z578" s="28"/>
      <c r="AA578" s="28"/>
      <c r="AB578" s="28"/>
      <c r="AC578" s="28"/>
      <c r="AD578" s="28"/>
      <c r="AE578" s="28"/>
      <c r="AF578" s="28"/>
      <c r="AG578" s="28"/>
      <c r="AH578" s="28"/>
      <c r="AI578" s="28"/>
      <c r="AJ578" s="28"/>
      <c r="AK578" s="28"/>
      <c r="AL578" s="28"/>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row>
    <row r="579" spans="1:114" s="38" customFormat="1" ht="41.25" customHeight="1">
      <c r="A579" s="241" t="s">
        <v>816</v>
      </c>
      <c r="B579" s="288" t="s">
        <v>817</v>
      </c>
      <c r="C579" s="288"/>
      <c r="D579" s="288"/>
      <c r="E579" s="288"/>
      <c r="F579" s="288"/>
      <c r="G579" s="288"/>
      <c r="H579" s="288"/>
      <c r="I579" s="288"/>
      <c r="J579" s="37"/>
      <c r="K579" s="27"/>
      <c r="L579" s="27"/>
      <c r="M579" s="27"/>
      <c r="N579" s="27"/>
      <c r="O579" s="27"/>
      <c r="P579" s="27"/>
      <c r="Q579" s="27"/>
      <c r="R579" s="27"/>
      <c r="S579" s="27"/>
      <c r="T579" s="27"/>
      <c r="U579" s="27"/>
      <c r="V579" s="28"/>
      <c r="W579" s="28"/>
      <c r="X579" s="28"/>
      <c r="Y579" s="28"/>
      <c r="Z579" s="28"/>
      <c r="AA579" s="28"/>
      <c r="AB579" s="28"/>
      <c r="AC579" s="28"/>
      <c r="AD579" s="28"/>
      <c r="AE579" s="28"/>
      <c r="AF579" s="28"/>
      <c r="AG579" s="28"/>
      <c r="AH579" s="28"/>
      <c r="AI579" s="28"/>
      <c r="AJ579" s="28"/>
      <c r="AK579" s="28"/>
      <c r="AL579" s="28"/>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row>
    <row r="580" spans="1:114" s="38" customFormat="1" ht="11.25" customHeight="1">
      <c r="A580" s="240" t="s">
        <v>696</v>
      </c>
      <c r="B580" s="288" t="s">
        <v>159</v>
      </c>
      <c r="C580" s="288"/>
      <c r="D580" s="288"/>
      <c r="E580" s="288"/>
      <c r="F580" s="288"/>
      <c r="G580" s="288"/>
      <c r="H580" s="288"/>
      <c r="I580" s="288"/>
      <c r="J580" s="37"/>
      <c r="K580" s="27"/>
      <c r="L580" s="27"/>
      <c r="M580" s="27"/>
      <c r="N580" s="27"/>
      <c r="O580" s="27"/>
      <c r="P580" s="27"/>
      <c r="Q580" s="27"/>
      <c r="R580" s="27"/>
      <c r="S580" s="27"/>
      <c r="T580" s="27"/>
      <c r="U580" s="27"/>
      <c r="V580" s="28"/>
      <c r="W580" s="28"/>
      <c r="X580" s="28"/>
      <c r="Y580" s="28"/>
      <c r="Z580" s="28"/>
      <c r="AA580" s="28"/>
      <c r="AB580" s="28"/>
      <c r="AC580" s="28"/>
      <c r="AD580" s="28"/>
      <c r="AE580" s="28"/>
      <c r="AF580" s="28"/>
      <c r="AG580" s="28"/>
      <c r="AH580" s="28"/>
      <c r="AI580" s="28"/>
      <c r="AJ580" s="28"/>
      <c r="AK580" s="28"/>
      <c r="AL580" s="28"/>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row>
    <row r="581" spans="1:114" s="38" customFormat="1" ht="27.75" customHeight="1">
      <c r="A581" s="242" t="s">
        <v>160</v>
      </c>
      <c r="B581" s="288" t="s">
        <v>613</v>
      </c>
      <c r="C581" s="288"/>
      <c r="D581" s="288"/>
      <c r="E581" s="288"/>
      <c r="F581" s="288"/>
      <c r="G581" s="288"/>
      <c r="H581" s="288"/>
      <c r="I581" s="288"/>
      <c r="J581" s="37"/>
      <c r="K581" s="27"/>
      <c r="L581" s="27"/>
      <c r="M581" s="27"/>
      <c r="N581" s="27"/>
      <c r="O581" s="27"/>
      <c r="P581" s="27"/>
      <c r="Q581" s="27"/>
      <c r="R581" s="27"/>
      <c r="S581" s="27"/>
      <c r="T581" s="27"/>
      <c r="U581" s="27"/>
      <c r="V581" s="28"/>
      <c r="W581" s="28"/>
      <c r="X581" s="28"/>
      <c r="Y581" s="28"/>
      <c r="Z581" s="28"/>
      <c r="AA581" s="28"/>
      <c r="AB581" s="28"/>
      <c r="AC581" s="28"/>
      <c r="AD581" s="28"/>
      <c r="AE581" s="28"/>
      <c r="AF581" s="28"/>
      <c r="AG581" s="28"/>
      <c r="AH581" s="28"/>
      <c r="AI581" s="28"/>
      <c r="AJ581" s="28"/>
      <c r="AK581" s="28"/>
      <c r="AL581" s="28"/>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row>
    <row r="582" spans="1:114" s="38" customFormat="1" ht="23.25" customHeight="1">
      <c r="A582" s="242" t="s">
        <v>26</v>
      </c>
      <c r="B582" s="284" t="s">
        <v>336</v>
      </c>
      <c r="C582" s="284"/>
      <c r="D582" s="284"/>
      <c r="E582" s="284"/>
      <c r="F582" s="284"/>
      <c r="G582" s="284"/>
      <c r="H582" s="284"/>
      <c r="I582" s="284"/>
      <c r="J582" s="37"/>
      <c r="K582" s="27"/>
      <c r="L582" s="27"/>
      <c r="M582" s="27"/>
      <c r="N582" s="27"/>
      <c r="O582" s="27"/>
      <c r="P582" s="27"/>
      <c r="Q582" s="27"/>
      <c r="R582" s="27"/>
      <c r="S582" s="27"/>
      <c r="T582" s="27"/>
      <c r="U582" s="27"/>
      <c r="V582" s="28"/>
      <c r="W582" s="28"/>
      <c r="X582" s="28"/>
      <c r="Y582" s="28"/>
      <c r="Z582" s="28"/>
      <c r="AA582" s="28"/>
      <c r="AB582" s="28"/>
      <c r="AC582" s="28"/>
      <c r="AD582" s="28"/>
      <c r="AE582" s="28"/>
      <c r="AF582" s="28"/>
      <c r="AG582" s="28"/>
      <c r="AH582" s="28"/>
      <c r="AI582" s="28"/>
      <c r="AJ582" s="28"/>
      <c r="AK582" s="28"/>
      <c r="AL582" s="28"/>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row>
    <row r="583" spans="1:114" s="38" customFormat="1" ht="16.5" customHeight="1">
      <c r="A583" s="242" t="s">
        <v>337</v>
      </c>
      <c r="B583" s="284" t="s">
        <v>338</v>
      </c>
      <c r="C583" s="284"/>
      <c r="D583" s="284"/>
      <c r="E583" s="284"/>
      <c r="F583" s="284"/>
      <c r="G583" s="284"/>
      <c r="H583" s="284"/>
      <c r="I583" s="284"/>
      <c r="J583" s="37"/>
      <c r="K583" s="27"/>
      <c r="L583" s="27"/>
      <c r="M583" s="27"/>
      <c r="N583" s="27"/>
      <c r="O583" s="27"/>
      <c r="P583" s="27"/>
      <c r="Q583" s="27"/>
      <c r="R583" s="27"/>
      <c r="S583" s="27"/>
      <c r="T583" s="27"/>
      <c r="U583" s="27"/>
      <c r="V583" s="28"/>
      <c r="W583" s="28"/>
      <c r="X583" s="28"/>
      <c r="Y583" s="28"/>
      <c r="Z583" s="28"/>
      <c r="AA583" s="28"/>
      <c r="AB583" s="28"/>
      <c r="AC583" s="28"/>
      <c r="AD583" s="28"/>
      <c r="AE583" s="28"/>
      <c r="AF583" s="28"/>
      <c r="AG583" s="28"/>
      <c r="AH583" s="28"/>
      <c r="AI583" s="28"/>
      <c r="AJ583" s="28"/>
      <c r="AK583" s="28"/>
      <c r="AL583" s="28"/>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row>
    <row r="584" spans="1:114" s="38" customFormat="1" ht="19.5" customHeight="1">
      <c r="A584" s="242" t="s">
        <v>167</v>
      </c>
      <c r="B584" s="284" t="s">
        <v>168</v>
      </c>
      <c r="C584" s="284"/>
      <c r="D584" s="284"/>
      <c r="E584" s="284"/>
      <c r="F584" s="284"/>
      <c r="G584" s="284"/>
      <c r="H584" s="284"/>
      <c r="I584" s="96"/>
      <c r="J584" s="37"/>
      <c r="K584" s="27"/>
      <c r="L584" s="27"/>
      <c r="M584" s="27"/>
      <c r="N584" s="27"/>
      <c r="O584" s="27"/>
      <c r="P584" s="27"/>
      <c r="Q584" s="27"/>
      <c r="R584" s="27"/>
      <c r="S584" s="27"/>
      <c r="T584" s="27"/>
      <c r="U584" s="27"/>
      <c r="V584" s="28"/>
      <c r="W584" s="28"/>
      <c r="X584" s="28"/>
      <c r="Y584" s="28"/>
      <c r="Z584" s="28"/>
      <c r="AA584" s="28"/>
      <c r="AB584" s="28"/>
      <c r="AC584" s="28"/>
      <c r="AD584" s="28"/>
      <c r="AE584" s="28"/>
      <c r="AF584" s="28"/>
      <c r="AG584" s="28"/>
      <c r="AH584" s="28"/>
      <c r="AI584" s="28"/>
      <c r="AJ584" s="28"/>
      <c r="AK584" s="28"/>
      <c r="AL584" s="28"/>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row>
    <row r="585" spans="1:114" s="38" customFormat="1" ht="15.75" customHeight="1">
      <c r="A585" s="242" t="s">
        <v>243</v>
      </c>
      <c r="B585" s="284" t="s">
        <v>193</v>
      </c>
      <c r="C585" s="284"/>
      <c r="D585" s="284"/>
      <c r="E585" s="284"/>
      <c r="F585" s="284"/>
      <c r="G585" s="284"/>
      <c r="H585" s="284"/>
      <c r="I585" s="96"/>
      <c r="J585" s="37"/>
      <c r="K585" s="27"/>
      <c r="L585" s="27"/>
      <c r="M585" s="27"/>
      <c r="N585" s="27"/>
      <c r="O585" s="27"/>
      <c r="P585" s="27"/>
      <c r="Q585" s="27"/>
      <c r="R585" s="27"/>
      <c r="S585" s="27"/>
      <c r="T585" s="27"/>
      <c r="U585" s="27"/>
      <c r="V585" s="28"/>
      <c r="W585" s="28"/>
      <c r="X585" s="28"/>
      <c r="Y585" s="28"/>
      <c r="Z585" s="28"/>
      <c r="AA585" s="28"/>
      <c r="AB585" s="28"/>
      <c r="AC585" s="28"/>
      <c r="AD585" s="28"/>
      <c r="AE585" s="28"/>
      <c r="AF585" s="28"/>
      <c r="AG585" s="28"/>
      <c r="AH585" s="28"/>
      <c r="AI585" s="28"/>
      <c r="AJ585" s="28"/>
      <c r="AK585" s="28"/>
      <c r="AL585" s="28"/>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row>
    <row r="586" spans="1:114" s="38" customFormat="1" ht="21.75" customHeight="1">
      <c r="A586" s="243" t="s">
        <v>745</v>
      </c>
      <c r="B586" s="284" t="s">
        <v>757</v>
      </c>
      <c r="C586" s="284"/>
      <c r="D586" s="284"/>
      <c r="E586" s="284"/>
      <c r="F586" s="284"/>
      <c r="G586" s="284"/>
      <c r="H586" s="284"/>
      <c r="I586" s="36"/>
      <c r="J586" s="37"/>
      <c r="K586" s="27"/>
      <c r="L586" s="27"/>
      <c r="M586" s="27"/>
      <c r="N586" s="27"/>
      <c r="O586" s="27"/>
      <c r="P586" s="27"/>
      <c r="Q586" s="27"/>
      <c r="R586" s="27"/>
      <c r="S586" s="27"/>
      <c r="T586" s="27"/>
      <c r="U586" s="27"/>
      <c r="V586" s="28"/>
      <c r="W586" s="28"/>
      <c r="X586" s="28"/>
      <c r="Y586" s="28"/>
      <c r="Z586" s="28"/>
      <c r="AA586" s="28"/>
      <c r="AB586" s="28"/>
      <c r="AC586" s="28"/>
      <c r="AD586" s="28"/>
      <c r="AE586" s="28"/>
      <c r="AF586" s="28"/>
      <c r="AG586" s="28"/>
      <c r="AH586" s="28"/>
      <c r="AI586" s="28"/>
      <c r="AJ586" s="28"/>
      <c r="AK586" s="28"/>
      <c r="AL586" s="28"/>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row>
    <row r="587" spans="1:114" s="38" customFormat="1" ht="21.75" customHeight="1">
      <c r="A587" s="243" t="s">
        <v>746</v>
      </c>
      <c r="B587" s="284" t="s">
        <v>758</v>
      </c>
      <c r="C587" s="284"/>
      <c r="D587" s="284"/>
      <c r="E587" s="284"/>
      <c r="F587" s="284"/>
      <c r="G587" s="284"/>
      <c r="H587" s="284"/>
      <c r="I587" s="36"/>
      <c r="J587" s="37"/>
      <c r="K587" s="27"/>
      <c r="L587" s="27"/>
      <c r="M587" s="27"/>
      <c r="N587" s="27"/>
      <c r="O587" s="27"/>
      <c r="P587" s="27"/>
      <c r="Q587" s="27"/>
      <c r="R587" s="27"/>
      <c r="S587" s="27"/>
      <c r="T587" s="27"/>
      <c r="U587" s="27"/>
      <c r="V587" s="28"/>
      <c r="W587" s="28"/>
      <c r="X587" s="28"/>
      <c r="Y587" s="28"/>
      <c r="Z587" s="28"/>
      <c r="AA587" s="28"/>
      <c r="AB587" s="28"/>
      <c r="AC587" s="28"/>
      <c r="AD587" s="28"/>
      <c r="AE587" s="28"/>
      <c r="AF587" s="28"/>
      <c r="AG587" s="28"/>
      <c r="AH587" s="28"/>
      <c r="AI587" s="28"/>
      <c r="AJ587" s="28"/>
      <c r="AK587" s="28"/>
      <c r="AL587" s="28"/>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row>
    <row r="588" spans="1:114" s="38" customFormat="1" ht="21.75" customHeight="1">
      <c r="A588" s="243" t="s">
        <v>747</v>
      </c>
      <c r="B588" s="284" t="s">
        <v>759</v>
      </c>
      <c r="C588" s="284"/>
      <c r="D588" s="284"/>
      <c r="E588" s="284"/>
      <c r="F588" s="284"/>
      <c r="G588" s="284"/>
      <c r="H588" s="284"/>
      <c r="I588" s="36"/>
      <c r="J588" s="37"/>
      <c r="K588" s="27"/>
      <c r="L588" s="27"/>
      <c r="M588" s="27"/>
      <c r="N588" s="27"/>
      <c r="O588" s="27"/>
      <c r="P588" s="27"/>
      <c r="Q588" s="27"/>
      <c r="R588" s="27"/>
      <c r="S588" s="27"/>
      <c r="T588" s="27"/>
      <c r="U588" s="27"/>
      <c r="V588" s="28"/>
      <c r="W588" s="28"/>
      <c r="X588" s="28"/>
      <c r="Y588" s="28"/>
      <c r="Z588" s="28"/>
      <c r="AA588" s="28"/>
      <c r="AB588" s="28"/>
      <c r="AC588" s="28"/>
      <c r="AD588" s="28"/>
      <c r="AE588" s="28"/>
      <c r="AF588" s="28"/>
      <c r="AG588" s="28"/>
      <c r="AH588" s="28"/>
      <c r="AI588" s="28"/>
      <c r="AJ588" s="28"/>
      <c r="AK588" s="28"/>
      <c r="AL588" s="28"/>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row>
    <row r="589" spans="1:114" s="38" customFormat="1" ht="21.75" customHeight="1">
      <c r="A589" s="243" t="s">
        <v>748</v>
      </c>
      <c r="B589" s="284" t="s">
        <v>760</v>
      </c>
      <c r="C589" s="284"/>
      <c r="D589" s="284"/>
      <c r="E589" s="284"/>
      <c r="F589" s="284"/>
      <c r="G589" s="284"/>
      <c r="H589" s="284"/>
      <c r="I589" s="36"/>
      <c r="J589" s="37"/>
      <c r="K589" s="27"/>
      <c r="L589" s="27"/>
      <c r="M589" s="27"/>
      <c r="N589" s="27"/>
      <c r="O589" s="27"/>
      <c r="P589" s="27"/>
      <c r="Q589" s="27"/>
      <c r="R589" s="27"/>
      <c r="S589" s="27"/>
      <c r="T589" s="27"/>
      <c r="U589" s="27"/>
      <c r="V589" s="28"/>
      <c r="W589" s="28"/>
      <c r="X589" s="28"/>
      <c r="Y589" s="28"/>
      <c r="Z589" s="28"/>
      <c r="AA589" s="28"/>
      <c r="AB589" s="28"/>
      <c r="AC589" s="28"/>
      <c r="AD589" s="28"/>
      <c r="AE589" s="28"/>
      <c r="AF589" s="28"/>
      <c r="AG589" s="28"/>
      <c r="AH589" s="28"/>
      <c r="AI589" s="28"/>
      <c r="AJ589" s="28"/>
      <c r="AK589" s="28"/>
      <c r="AL589" s="28"/>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row>
    <row r="590" spans="1:114" s="38" customFormat="1" ht="28.5" customHeight="1">
      <c r="A590" s="243" t="s">
        <v>752</v>
      </c>
      <c r="B590" s="288" t="s">
        <v>749</v>
      </c>
      <c r="C590" s="288"/>
      <c r="D590" s="288"/>
      <c r="E590" s="288"/>
      <c r="F590" s="288"/>
      <c r="G590" s="288"/>
      <c r="H590" s="288"/>
      <c r="I590" s="288"/>
      <c r="J590" s="37"/>
      <c r="K590" s="27"/>
      <c r="L590" s="27"/>
      <c r="M590" s="27"/>
      <c r="N590" s="27"/>
      <c r="O590" s="27"/>
      <c r="P590" s="27"/>
      <c r="Q590" s="27"/>
      <c r="R590" s="27"/>
      <c r="S590" s="27"/>
      <c r="T590" s="27"/>
      <c r="U590" s="27"/>
      <c r="V590" s="28"/>
      <c r="W590" s="28"/>
      <c r="X590" s="28"/>
      <c r="Y590" s="28"/>
      <c r="Z590" s="28"/>
      <c r="AA590" s="28"/>
      <c r="AB590" s="28"/>
      <c r="AC590" s="28"/>
      <c r="AD590" s="28"/>
      <c r="AE590" s="28"/>
      <c r="AF590" s="28"/>
      <c r="AG590" s="28"/>
      <c r="AH590" s="28"/>
      <c r="AI590" s="28"/>
      <c r="AJ590" s="28"/>
      <c r="AK590" s="28"/>
      <c r="AL590" s="28"/>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row>
    <row r="591" spans="1:114" s="38" customFormat="1" ht="18" customHeight="1">
      <c r="A591" s="243" t="s">
        <v>753</v>
      </c>
      <c r="B591" s="284" t="s">
        <v>750</v>
      </c>
      <c r="C591" s="284"/>
      <c r="D591" s="284"/>
      <c r="E591" s="284"/>
      <c r="F591" s="284"/>
      <c r="G591" s="284"/>
      <c r="H591" s="284"/>
      <c r="I591" s="244"/>
      <c r="J591" s="37"/>
      <c r="K591" s="27"/>
      <c r="L591" s="27"/>
      <c r="M591" s="27"/>
      <c r="N591" s="27"/>
      <c r="O591" s="27"/>
      <c r="P591" s="27"/>
      <c r="Q591" s="27"/>
      <c r="R591" s="27"/>
      <c r="S591" s="27"/>
      <c r="T591" s="27"/>
      <c r="U591" s="27"/>
      <c r="V591" s="28"/>
      <c r="W591" s="28"/>
      <c r="X591" s="28"/>
      <c r="Y591" s="28"/>
      <c r="Z591" s="28"/>
      <c r="AA591" s="28"/>
      <c r="AB591" s="28"/>
      <c r="AC591" s="28"/>
      <c r="AD591" s="28"/>
      <c r="AE591" s="28"/>
      <c r="AF591" s="28"/>
      <c r="AG591" s="28"/>
      <c r="AH591" s="28"/>
      <c r="AI591" s="28"/>
      <c r="AJ591" s="28"/>
      <c r="AK591" s="28"/>
      <c r="AL591" s="28"/>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row>
    <row r="592" spans="1:114" s="38" customFormat="1" ht="68.25" customHeight="1">
      <c r="A592" s="243" t="s">
        <v>763</v>
      </c>
      <c r="B592" s="284" t="s">
        <v>764</v>
      </c>
      <c r="C592" s="284"/>
      <c r="D592" s="284"/>
      <c r="E592" s="284"/>
      <c r="F592" s="284"/>
      <c r="G592" s="284"/>
      <c r="H592" s="284"/>
      <c r="I592" s="244"/>
      <c r="J592" s="37"/>
      <c r="K592" s="27"/>
      <c r="L592" s="27"/>
      <c r="M592" s="27"/>
      <c r="N592" s="27"/>
      <c r="O592" s="27"/>
      <c r="P592" s="27"/>
      <c r="Q592" s="27"/>
      <c r="R592" s="27"/>
      <c r="S592" s="27"/>
      <c r="T592" s="27"/>
      <c r="U592" s="27"/>
      <c r="V592" s="28"/>
      <c r="W592" s="28"/>
      <c r="X592" s="28"/>
      <c r="Y592" s="28"/>
      <c r="Z592" s="28"/>
      <c r="AA592" s="28"/>
      <c r="AB592" s="28"/>
      <c r="AC592" s="28"/>
      <c r="AD592" s="28"/>
      <c r="AE592" s="28"/>
      <c r="AF592" s="28"/>
      <c r="AG592" s="28"/>
      <c r="AH592" s="28"/>
      <c r="AI592" s="28"/>
      <c r="AJ592" s="28"/>
      <c r="AK592" s="28"/>
      <c r="AL592" s="28"/>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row>
    <row r="593" spans="1:114" s="38" customFormat="1" ht="18.75" customHeight="1">
      <c r="A593" s="243" t="s">
        <v>771</v>
      </c>
      <c r="B593" s="284" t="s">
        <v>772</v>
      </c>
      <c r="C593" s="284"/>
      <c r="D593" s="284"/>
      <c r="E593" s="284"/>
      <c r="F593" s="284"/>
      <c r="G593" s="284"/>
      <c r="H593" s="284"/>
      <c r="I593" s="244"/>
      <c r="J593" s="37"/>
      <c r="K593" s="27"/>
      <c r="L593" s="27"/>
      <c r="M593" s="27"/>
      <c r="N593" s="27"/>
      <c r="O593" s="27"/>
      <c r="P593" s="27"/>
      <c r="Q593" s="27"/>
      <c r="R593" s="27"/>
      <c r="S593" s="27"/>
      <c r="T593" s="27"/>
      <c r="U593" s="27"/>
      <c r="V593" s="28"/>
      <c r="W593" s="28"/>
      <c r="X593" s="28"/>
      <c r="Y593" s="28"/>
      <c r="Z593" s="28"/>
      <c r="AA593" s="28"/>
      <c r="AB593" s="28"/>
      <c r="AC593" s="28"/>
      <c r="AD593" s="28"/>
      <c r="AE593" s="28"/>
      <c r="AF593" s="28"/>
      <c r="AG593" s="28"/>
      <c r="AH593" s="28"/>
      <c r="AI593" s="28"/>
      <c r="AJ593" s="28"/>
      <c r="AK593" s="28"/>
      <c r="AL593" s="28"/>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row>
    <row r="594" spans="1:114" s="38" customFormat="1" ht="18.75" customHeight="1">
      <c r="A594" s="243" t="s">
        <v>805</v>
      </c>
      <c r="B594" s="284" t="s">
        <v>806</v>
      </c>
      <c r="C594" s="284"/>
      <c r="D594" s="284"/>
      <c r="E594" s="284"/>
      <c r="F594" s="284"/>
      <c r="G594" s="284"/>
      <c r="H594" s="284"/>
      <c r="I594" s="244"/>
      <c r="J594" s="37"/>
      <c r="K594" s="27"/>
      <c r="L594" s="27"/>
      <c r="M594" s="27"/>
      <c r="N594" s="27"/>
      <c r="O594" s="27"/>
      <c r="P594" s="27"/>
      <c r="Q594" s="27"/>
      <c r="R594" s="27"/>
      <c r="S594" s="27"/>
      <c r="T594" s="27"/>
      <c r="U594" s="27"/>
      <c r="V594" s="28"/>
      <c r="W594" s="28"/>
      <c r="X594" s="28"/>
      <c r="Y594" s="28"/>
      <c r="Z594" s="28"/>
      <c r="AA594" s="28"/>
      <c r="AB594" s="28"/>
      <c r="AC594" s="28"/>
      <c r="AD594" s="28"/>
      <c r="AE594" s="28"/>
      <c r="AF594" s="28"/>
      <c r="AG594" s="28"/>
      <c r="AH594" s="28"/>
      <c r="AI594" s="28"/>
      <c r="AJ594" s="28"/>
      <c r="AK594" s="28"/>
      <c r="AL594" s="28"/>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row>
    <row r="595" spans="1:114" s="38" customFormat="1" ht="18.75" customHeight="1">
      <c r="A595" s="243" t="s">
        <v>807</v>
      </c>
      <c r="B595" s="284" t="s">
        <v>808</v>
      </c>
      <c r="C595" s="284"/>
      <c r="D595" s="284"/>
      <c r="E595" s="284"/>
      <c r="F595" s="284"/>
      <c r="G595" s="284"/>
      <c r="H595" s="284"/>
      <c r="I595" s="244"/>
      <c r="J595" s="37"/>
      <c r="K595" s="27"/>
      <c r="L595" s="27"/>
      <c r="M595" s="27"/>
      <c r="N595" s="27"/>
      <c r="O595" s="27"/>
      <c r="P595" s="27"/>
      <c r="Q595" s="27"/>
      <c r="R595" s="27"/>
      <c r="S595" s="27"/>
      <c r="T595" s="27"/>
      <c r="U595" s="27"/>
      <c r="V595" s="28"/>
      <c r="W595" s="28"/>
      <c r="X595" s="28"/>
      <c r="Y595" s="28"/>
      <c r="Z595" s="28"/>
      <c r="AA595" s="28"/>
      <c r="AB595" s="28"/>
      <c r="AC595" s="28"/>
      <c r="AD595" s="28"/>
      <c r="AE595" s="28"/>
      <c r="AF595" s="28"/>
      <c r="AG595" s="28"/>
      <c r="AH595" s="28"/>
      <c r="AI595" s="28"/>
      <c r="AJ595" s="28"/>
      <c r="AK595" s="28"/>
      <c r="AL595" s="28"/>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row>
    <row r="596" spans="1:114" s="38" customFormat="1" ht="41.25" customHeight="1">
      <c r="A596" s="243" t="s">
        <v>828</v>
      </c>
      <c r="B596" s="284" t="s">
        <v>829</v>
      </c>
      <c r="C596" s="284"/>
      <c r="D596" s="284"/>
      <c r="E596" s="284"/>
      <c r="F596" s="284"/>
      <c r="G596" s="284"/>
      <c r="H596" s="284"/>
      <c r="I596" s="244"/>
      <c r="J596" s="37"/>
      <c r="K596" s="27"/>
      <c r="L596" s="27"/>
      <c r="M596" s="27"/>
      <c r="N596" s="27"/>
      <c r="O596" s="27"/>
      <c r="P596" s="27"/>
      <c r="Q596" s="27"/>
      <c r="R596" s="27"/>
      <c r="S596" s="27"/>
      <c r="T596" s="27"/>
      <c r="U596" s="27"/>
      <c r="V596" s="28"/>
      <c r="W596" s="28"/>
      <c r="X596" s="28"/>
      <c r="Y596" s="28"/>
      <c r="Z596" s="28"/>
      <c r="AA596" s="28"/>
      <c r="AB596" s="28"/>
      <c r="AC596" s="28"/>
      <c r="AD596" s="28"/>
      <c r="AE596" s="28"/>
      <c r="AF596" s="28"/>
      <c r="AG596" s="28"/>
      <c r="AH596" s="28"/>
      <c r="AI596" s="28"/>
      <c r="AJ596" s="28"/>
      <c r="AK596" s="28"/>
      <c r="AL596" s="28"/>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row>
    <row r="597" spans="1:114" s="38" customFormat="1" ht="41.25" customHeight="1">
      <c r="A597" s="243" t="s">
        <v>1038</v>
      </c>
      <c r="B597" s="284" t="s">
        <v>1047</v>
      </c>
      <c r="C597" s="284"/>
      <c r="D597" s="284"/>
      <c r="E597" s="284"/>
      <c r="F597" s="284"/>
      <c r="G597" s="284"/>
      <c r="H597" s="284"/>
      <c r="I597" s="244"/>
      <c r="J597" s="37"/>
      <c r="K597" s="27"/>
      <c r="L597" s="27"/>
      <c r="M597" s="27"/>
      <c r="N597" s="27"/>
      <c r="O597" s="27"/>
      <c r="P597" s="27"/>
      <c r="Q597" s="27"/>
      <c r="R597" s="27"/>
      <c r="S597" s="27"/>
      <c r="T597" s="27"/>
      <c r="U597" s="27"/>
      <c r="V597" s="28"/>
      <c r="W597" s="28"/>
      <c r="X597" s="28"/>
      <c r="Y597" s="28"/>
      <c r="Z597" s="28"/>
      <c r="AA597" s="28"/>
      <c r="AB597" s="28"/>
      <c r="AC597" s="28"/>
      <c r="AD597" s="28"/>
      <c r="AE597" s="28"/>
      <c r="AF597" s="28"/>
      <c r="AG597" s="28"/>
      <c r="AH597" s="28"/>
      <c r="AI597" s="28"/>
      <c r="AJ597" s="28"/>
      <c r="AK597" s="28"/>
      <c r="AL597" s="28"/>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row>
    <row r="598" spans="1:114" s="38" customFormat="1" ht="55.5" customHeight="1">
      <c r="A598" s="243" t="s">
        <v>1041</v>
      </c>
      <c r="B598" s="284" t="s">
        <v>1045</v>
      </c>
      <c r="C598" s="284"/>
      <c r="D598" s="284"/>
      <c r="E598" s="284"/>
      <c r="F598" s="284"/>
      <c r="G598" s="284"/>
      <c r="H598" s="284"/>
      <c r="I598" s="244"/>
      <c r="J598" s="37"/>
      <c r="K598" s="27"/>
      <c r="L598" s="27"/>
      <c r="M598" s="27"/>
      <c r="N598" s="27"/>
      <c r="O598" s="27"/>
      <c r="P598" s="27"/>
      <c r="Q598" s="27"/>
      <c r="R598" s="27"/>
      <c r="S598" s="27"/>
      <c r="T598" s="27"/>
      <c r="U598" s="27"/>
      <c r="V598" s="28"/>
      <c r="W598" s="28"/>
      <c r="X598" s="28"/>
      <c r="Y598" s="28"/>
      <c r="Z598" s="28"/>
      <c r="AA598" s="28"/>
      <c r="AB598" s="28"/>
      <c r="AC598" s="28"/>
      <c r="AD598" s="28"/>
      <c r="AE598" s="28"/>
      <c r="AF598" s="28"/>
      <c r="AG598" s="28"/>
      <c r="AH598" s="28"/>
      <c r="AI598" s="28"/>
      <c r="AJ598" s="28"/>
      <c r="AK598" s="28"/>
      <c r="AL598" s="28"/>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row>
    <row r="599" spans="1:114" s="38" customFormat="1" ht="55.5" customHeight="1">
      <c r="A599" s="243" t="s">
        <v>1042</v>
      </c>
      <c r="B599" s="284" t="s">
        <v>1046</v>
      </c>
      <c r="C599" s="284"/>
      <c r="D599" s="284"/>
      <c r="E599" s="284"/>
      <c r="F599" s="284"/>
      <c r="G599" s="284"/>
      <c r="H599" s="284"/>
      <c r="I599" s="244"/>
      <c r="J599" s="37"/>
      <c r="K599" s="27"/>
      <c r="L599" s="27"/>
      <c r="M599" s="27"/>
      <c r="N599" s="27"/>
      <c r="O599" s="27"/>
      <c r="P599" s="27"/>
      <c r="Q599" s="27"/>
      <c r="R599" s="27"/>
      <c r="S599" s="27"/>
      <c r="T599" s="27"/>
      <c r="U599" s="27"/>
      <c r="V599" s="28"/>
      <c r="W599" s="28"/>
      <c r="X599" s="28"/>
      <c r="Y599" s="28"/>
      <c r="Z599" s="28"/>
      <c r="AA599" s="28"/>
      <c r="AB599" s="28"/>
      <c r="AC599" s="28"/>
      <c r="AD599" s="28"/>
      <c r="AE599" s="28"/>
      <c r="AF599" s="28"/>
      <c r="AG599" s="28"/>
      <c r="AH599" s="28"/>
      <c r="AI599" s="28"/>
      <c r="AJ599" s="28"/>
      <c r="AK599" s="28"/>
      <c r="AL599" s="28"/>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row>
    <row r="600" spans="1:114" s="38" customFormat="1" ht="15.75" customHeight="1">
      <c r="A600" s="242" t="s">
        <v>1114</v>
      </c>
      <c r="B600" s="284" t="s">
        <v>1115</v>
      </c>
      <c r="C600" s="284"/>
      <c r="D600" s="284"/>
      <c r="E600" s="284"/>
      <c r="F600" s="284"/>
      <c r="G600" s="284"/>
      <c r="H600" s="284"/>
      <c r="I600" s="284"/>
      <c r="J600" s="37"/>
      <c r="K600" s="27"/>
      <c r="L600" s="27"/>
      <c r="M600" s="27"/>
      <c r="N600" s="27"/>
      <c r="O600" s="27"/>
      <c r="P600" s="27"/>
      <c r="Q600" s="27"/>
      <c r="R600" s="27"/>
      <c r="S600" s="27"/>
      <c r="T600" s="27"/>
      <c r="U600" s="27"/>
      <c r="V600" s="28"/>
      <c r="W600" s="28"/>
      <c r="X600" s="28"/>
      <c r="Y600" s="28"/>
      <c r="Z600" s="28"/>
      <c r="AA600" s="28"/>
      <c r="AB600" s="28"/>
      <c r="AC600" s="28"/>
      <c r="AD600" s="28"/>
      <c r="AE600" s="28"/>
      <c r="AF600" s="28"/>
      <c r="AG600" s="28"/>
      <c r="AH600" s="28"/>
      <c r="AI600" s="28"/>
      <c r="AJ600" s="28"/>
      <c r="AK600" s="28"/>
      <c r="AL600" s="28"/>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row>
    <row r="601" spans="1:111" s="38" customFormat="1" ht="30.75" customHeight="1">
      <c r="A601" s="243" t="s">
        <v>1116</v>
      </c>
      <c r="B601" s="284" t="s">
        <v>1120</v>
      </c>
      <c r="C601" s="284"/>
      <c r="D601" s="284"/>
      <c r="E601" s="284"/>
      <c r="F601" s="284"/>
      <c r="G601" s="284"/>
      <c r="H601" s="284"/>
      <c r="I601" s="244"/>
      <c r="J601" s="37"/>
      <c r="K601" s="27"/>
      <c r="L601" s="27"/>
      <c r="M601" s="27"/>
      <c r="N601" s="27"/>
      <c r="O601" s="27"/>
      <c r="P601" s="27"/>
      <c r="Q601" s="27"/>
      <c r="R601" s="27"/>
      <c r="S601" s="28"/>
      <c r="T601" s="28"/>
      <c r="U601" s="28"/>
      <c r="V601" s="28"/>
      <c r="W601" s="28"/>
      <c r="X601" s="28"/>
      <c r="Y601" s="28"/>
      <c r="Z601" s="28"/>
      <c r="AA601" s="28"/>
      <c r="AB601" s="28"/>
      <c r="AC601" s="28"/>
      <c r="AD601" s="28"/>
      <c r="AE601" s="28"/>
      <c r="AF601" s="28"/>
      <c r="AG601" s="28"/>
      <c r="AH601" s="28"/>
      <c r="AI601" s="28"/>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row>
    <row r="602" spans="1:111" s="38" customFormat="1" ht="30.75" customHeight="1">
      <c r="A602" s="243" t="s">
        <v>1117</v>
      </c>
      <c r="B602" s="284" t="s">
        <v>1121</v>
      </c>
      <c r="C602" s="284"/>
      <c r="D602" s="284"/>
      <c r="E602" s="284"/>
      <c r="F602" s="284"/>
      <c r="G602" s="284"/>
      <c r="H602" s="284"/>
      <c r="I602" s="244"/>
      <c r="J602" s="37"/>
      <c r="K602" s="27"/>
      <c r="L602" s="27"/>
      <c r="M602" s="27"/>
      <c r="N602" s="27"/>
      <c r="O602" s="27"/>
      <c r="P602" s="27"/>
      <c r="Q602" s="27"/>
      <c r="R602" s="27"/>
      <c r="S602" s="28"/>
      <c r="T602" s="28"/>
      <c r="U602" s="28"/>
      <c r="V602" s="28"/>
      <c r="W602" s="28"/>
      <c r="X602" s="28"/>
      <c r="Y602" s="28"/>
      <c r="Z602" s="28"/>
      <c r="AA602" s="28"/>
      <c r="AB602" s="28"/>
      <c r="AC602" s="28"/>
      <c r="AD602" s="28"/>
      <c r="AE602" s="28"/>
      <c r="AF602" s="28"/>
      <c r="AG602" s="28"/>
      <c r="AH602" s="28"/>
      <c r="AI602" s="28"/>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row>
    <row r="603" spans="1:114" s="38" customFormat="1" ht="20.25" customHeight="1">
      <c r="A603" s="242">
        <v>1</v>
      </c>
      <c r="B603" s="284" t="s">
        <v>614</v>
      </c>
      <c r="C603" s="284"/>
      <c r="D603" s="284"/>
      <c r="E603" s="284"/>
      <c r="F603" s="284"/>
      <c r="G603" s="284"/>
      <c r="H603" s="284"/>
      <c r="I603" s="284"/>
      <c r="J603" s="37"/>
      <c r="K603" s="27"/>
      <c r="L603" s="27"/>
      <c r="M603" s="27"/>
      <c r="N603" s="27"/>
      <c r="O603" s="27"/>
      <c r="P603" s="27"/>
      <c r="Q603" s="27"/>
      <c r="R603" s="27"/>
      <c r="S603" s="27"/>
      <c r="T603" s="27"/>
      <c r="U603" s="27"/>
      <c r="V603" s="28"/>
      <c r="W603" s="28"/>
      <c r="X603" s="28"/>
      <c r="Y603" s="28"/>
      <c r="Z603" s="28"/>
      <c r="AA603" s="28"/>
      <c r="AB603" s="28"/>
      <c r="AC603" s="28"/>
      <c r="AD603" s="28"/>
      <c r="AE603" s="28"/>
      <c r="AF603" s="28"/>
      <c r="AG603" s="28"/>
      <c r="AH603" s="28"/>
      <c r="AI603" s="28"/>
      <c r="AJ603" s="28"/>
      <c r="AK603" s="28"/>
      <c r="AL603" s="28"/>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row>
    <row r="604" spans="1:114" s="38" customFormat="1" ht="18" customHeight="1">
      <c r="A604" s="242">
        <v>2</v>
      </c>
      <c r="B604" s="284" t="s">
        <v>339</v>
      </c>
      <c r="C604" s="284"/>
      <c r="D604" s="284"/>
      <c r="E604" s="284"/>
      <c r="F604" s="284"/>
      <c r="G604" s="284"/>
      <c r="H604" s="284"/>
      <c r="I604" s="284"/>
      <c r="J604" s="37"/>
      <c r="K604" s="27"/>
      <c r="L604" s="27"/>
      <c r="M604" s="27"/>
      <c r="N604" s="27"/>
      <c r="O604" s="27"/>
      <c r="P604" s="27"/>
      <c r="Q604" s="27"/>
      <c r="R604" s="27"/>
      <c r="S604" s="27"/>
      <c r="T604" s="27"/>
      <c r="U604" s="27"/>
      <c r="V604" s="28"/>
      <c r="W604" s="28"/>
      <c r="X604" s="28"/>
      <c r="Y604" s="28"/>
      <c r="Z604" s="28"/>
      <c r="AA604" s="28"/>
      <c r="AB604" s="28"/>
      <c r="AC604" s="28"/>
      <c r="AD604" s="28"/>
      <c r="AE604" s="28"/>
      <c r="AF604" s="28"/>
      <c r="AG604" s="28"/>
      <c r="AH604" s="28"/>
      <c r="AI604" s="28"/>
      <c r="AJ604" s="28"/>
      <c r="AK604" s="28"/>
      <c r="AL604" s="28"/>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row>
    <row r="605" spans="1:114" s="38" customFormat="1" ht="29.25" customHeight="1">
      <c r="A605" s="242">
        <v>4</v>
      </c>
      <c r="B605" s="288" t="s">
        <v>617</v>
      </c>
      <c r="C605" s="288"/>
      <c r="D605" s="288"/>
      <c r="E605" s="288"/>
      <c r="F605" s="288"/>
      <c r="G605" s="288"/>
      <c r="H605" s="288"/>
      <c r="I605" s="288"/>
      <c r="J605" s="37"/>
      <c r="K605" s="27"/>
      <c r="L605" s="27"/>
      <c r="M605" s="27"/>
      <c r="N605" s="27"/>
      <c r="O605" s="27"/>
      <c r="P605" s="27"/>
      <c r="Q605" s="27"/>
      <c r="R605" s="27"/>
      <c r="S605" s="27"/>
      <c r="T605" s="27"/>
      <c r="U605" s="27"/>
      <c r="V605" s="28"/>
      <c r="W605" s="28"/>
      <c r="X605" s="28"/>
      <c r="Y605" s="28"/>
      <c r="Z605" s="28"/>
      <c r="AA605" s="28"/>
      <c r="AB605" s="28"/>
      <c r="AC605" s="28"/>
      <c r="AD605" s="28"/>
      <c r="AE605" s="28"/>
      <c r="AF605" s="28"/>
      <c r="AG605" s="28"/>
      <c r="AH605" s="28"/>
      <c r="AI605" s="28"/>
      <c r="AJ605" s="28"/>
      <c r="AK605" s="28"/>
      <c r="AL605" s="28"/>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row>
    <row r="606" spans="1:114" s="38" customFormat="1" ht="28.5" customHeight="1">
      <c r="A606" s="242">
        <v>5</v>
      </c>
      <c r="B606" s="288" t="s">
        <v>615</v>
      </c>
      <c r="C606" s="288"/>
      <c r="D606" s="288"/>
      <c r="E606" s="288"/>
      <c r="F606" s="288"/>
      <c r="G606" s="288"/>
      <c r="H606" s="288"/>
      <c r="I606" s="288"/>
      <c r="J606" s="37"/>
      <c r="K606" s="27"/>
      <c r="L606" s="27"/>
      <c r="M606" s="27"/>
      <c r="N606" s="27"/>
      <c r="O606" s="27"/>
      <c r="P606" s="27"/>
      <c r="Q606" s="27"/>
      <c r="R606" s="27"/>
      <c r="S606" s="27"/>
      <c r="T606" s="27"/>
      <c r="U606" s="27"/>
      <c r="V606" s="28"/>
      <c r="W606" s="28"/>
      <c r="X606" s="28"/>
      <c r="Y606" s="28"/>
      <c r="Z606" s="28"/>
      <c r="AA606" s="28"/>
      <c r="AB606" s="28"/>
      <c r="AC606" s="28"/>
      <c r="AD606" s="28"/>
      <c r="AE606" s="28"/>
      <c r="AF606" s="28"/>
      <c r="AG606" s="28"/>
      <c r="AH606" s="28"/>
      <c r="AI606" s="28"/>
      <c r="AJ606" s="28"/>
      <c r="AK606" s="28"/>
      <c r="AL606" s="28"/>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row>
    <row r="607" spans="1:114" s="38" customFormat="1" ht="27" customHeight="1">
      <c r="A607" s="242"/>
      <c r="B607" s="288" t="s">
        <v>616</v>
      </c>
      <c r="C607" s="288"/>
      <c r="D607" s="288"/>
      <c r="E607" s="288"/>
      <c r="F607" s="288"/>
      <c r="G607" s="288"/>
      <c r="H607" s="288"/>
      <c r="I607" s="288"/>
      <c r="J607" s="37"/>
      <c r="K607" s="27"/>
      <c r="L607" s="27"/>
      <c r="M607" s="27"/>
      <c r="N607" s="27"/>
      <c r="O607" s="27"/>
      <c r="P607" s="27"/>
      <c r="Q607" s="27"/>
      <c r="R607" s="27"/>
      <c r="S607" s="27"/>
      <c r="T607" s="27"/>
      <c r="U607" s="27"/>
      <c r="V607" s="28"/>
      <c r="W607" s="28"/>
      <c r="X607" s="28"/>
      <c r="Y607" s="28"/>
      <c r="Z607" s="28"/>
      <c r="AA607" s="28"/>
      <c r="AB607" s="28"/>
      <c r="AC607" s="28"/>
      <c r="AD607" s="28"/>
      <c r="AE607" s="28"/>
      <c r="AF607" s="28"/>
      <c r="AG607" s="28"/>
      <c r="AH607" s="28"/>
      <c r="AI607" s="28"/>
      <c r="AJ607" s="28"/>
      <c r="AK607" s="28"/>
      <c r="AL607" s="28"/>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row>
    <row r="608" spans="1:114" s="38" customFormat="1" ht="15">
      <c r="A608" s="242">
        <v>6</v>
      </c>
      <c r="B608" s="288" t="s">
        <v>340</v>
      </c>
      <c r="C608" s="288"/>
      <c r="D608" s="288"/>
      <c r="E608" s="288"/>
      <c r="F608" s="288"/>
      <c r="G608" s="288"/>
      <c r="H608" s="288"/>
      <c r="I608" s="288"/>
      <c r="J608" s="37"/>
      <c r="K608" s="27"/>
      <c r="L608" s="27"/>
      <c r="M608" s="27"/>
      <c r="N608" s="27"/>
      <c r="O608" s="27"/>
      <c r="P608" s="27"/>
      <c r="Q608" s="27"/>
      <c r="R608" s="27"/>
      <c r="S608" s="27"/>
      <c r="T608" s="27"/>
      <c r="U608" s="27"/>
      <c r="V608" s="28"/>
      <c r="W608" s="28"/>
      <c r="X608" s="28"/>
      <c r="Y608" s="28"/>
      <c r="Z608" s="28"/>
      <c r="AA608" s="28"/>
      <c r="AB608" s="28"/>
      <c r="AC608" s="28"/>
      <c r="AD608" s="28"/>
      <c r="AE608" s="28"/>
      <c r="AF608" s="28"/>
      <c r="AG608" s="28"/>
      <c r="AH608" s="28"/>
      <c r="AI608" s="28"/>
      <c r="AJ608" s="28"/>
      <c r="AK608" s="28"/>
      <c r="AL608" s="28"/>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row>
    <row r="609" spans="1:114" s="38" customFormat="1" ht="15">
      <c r="A609" s="242"/>
      <c r="B609" s="288" t="s">
        <v>609</v>
      </c>
      <c r="C609" s="288"/>
      <c r="D609" s="288"/>
      <c r="E609" s="288"/>
      <c r="F609" s="288"/>
      <c r="G609" s="288"/>
      <c r="H609" s="288"/>
      <c r="I609" s="288"/>
      <c r="J609" s="37"/>
      <c r="K609" s="27"/>
      <c r="L609" s="27"/>
      <c r="M609" s="27"/>
      <c r="N609" s="27"/>
      <c r="O609" s="27"/>
      <c r="P609" s="27"/>
      <c r="Q609" s="27"/>
      <c r="R609" s="27"/>
      <c r="S609" s="27"/>
      <c r="T609" s="27"/>
      <c r="U609" s="27"/>
      <c r="V609" s="28"/>
      <c r="W609" s="28"/>
      <c r="X609" s="28"/>
      <c r="Y609" s="28"/>
      <c r="Z609" s="28"/>
      <c r="AA609" s="28"/>
      <c r="AB609" s="28"/>
      <c r="AC609" s="28"/>
      <c r="AD609" s="28"/>
      <c r="AE609" s="28"/>
      <c r="AF609" s="28"/>
      <c r="AG609" s="28"/>
      <c r="AH609" s="28"/>
      <c r="AI609" s="28"/>
      <c r="AJ609" s="28"/>
      <c r="AK609" s="28"/>
      <c r="AL609" s="28"/>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row>
    <row r="610" spans="1:114" s="38" customFormat="1" ht="30" customHeight="1">
      <c r="A610" s="242">
        <v>7</v>
      </c>
      <c r="B610" s="288" t="s">
        <v>618</v>
      </c>
      <c r="C610" s="288"/>
      <c r="D610" s="288"/>
      <c r="E610" s="288"/>
      <c r="F610" s="288"/>
      <c r="G610" s="288"/>
      <c r="H610" s="288"/>
      <c r="I610" s="288"/>
      <c r="J610" s="37"/>
      <c r="K610" s="27"/>
      <c r="L610" s="27"/>
      <c r="M610" s="27"/>
      <c r="N610" s="27"/>
      <c r="O610" s="27"/>
      <c r="P610" s="27"/>
      <c r="Q610" s="27"/>
      <c r="R610" s="27"/>
      <c r="S610" s="27"/>
      <c r="T610" s="27"/>
      <c r="U610" s="27"/>
      <c r="V610" s="28"/>
      <c r="W610" s="28"/>
      <c r="X610" s="28"/>
      <c r="Y610" s="28"/>
      <c r="Z610" s="28"/>
      <c r="AA610" s="28"/>
      <c r="AB610" s="28"/>
      <c r="AC610" s="28"/>
      <c r="AD610" s="28"/>
      <c r="AE610" s="28"/>
      <c r="AF610" s="28"/>
      <c r="AG610" s="28"/>
      <c r="AH610" s="28"/>
      <c r="AI610" s="28"/>
      <c r="AJ610" s="28"/>
      <c r="AK610" s="28"/>
      <c r="AL610" s="28"/>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row>
    <row r="611" spans="1:114" s="38" customFormat="1" ht="15">
      <c r="A611" s="242">
        <v>8</v>
      </c>
      <c r="B611" s="288" t="s">
        <v>619</v>
      </c>
      <c r="C611" s="288"/>
      <c r="D611" s="288"/>
      <c r="E611" s="288"/>
      <c r="F611" s="288"/>
      <c r="G611" s="288"/>
      <c r="H611" s="288"/>
      <c r="I611" s="288"/>
      <c r="J611" s="37"/>
      <c r="K611" s="27"/>
      <c r="L611" s="27"/>
      <c r="M611" s="27"/>
      <c r="N611" s="27"/>
      <c r="O611" s="27"/>
      <c r="P611" s="27"/>
      <c r="Q611" s="27"/>
      <c r="R611" s="27"/>
      <c r="S611" s="27"/>
      <c r="T611" s="27"/>
      <c r="U611" s="27"/>
      <c r="V611" s="28"/>
      <c r="W611" s="28"/>
      <c r="X611" s="28"/>
      <c r="Y611" s="28"/>
      <c r="Z611" s="28"/>
      <c r="AA611" s="28"/>
      <c r="AB611" s="28"/>
      <c r="AC611" s="28"/>
      <c r="AD611" s="28"/>
      <c r="AE611" s="28"/>
      <c r="AF611" s="28"/>
      <c r="AG611" s="28"/>
      <c r="AH611" s="28"/>
      <c r="AI611" s="28"/>
      <c r="AJ611" s="28"/>
      <c r="AK611" s="28"/>
      <c r="AL611" s="28"/>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row>
    <row r="612" spans="1:114" s="38" customFormat="1" ht="28.5" customHeight="1">
      <c r="A612" s="242"/>
      <c r="B612" s="288" t="s">
        <v>620</v>
      </c>
      <c r="C612" s="288"/>
      <c r="D612" s="288"/>
      <c r="E612" s="288"/>
      <c r="F612" s="288"/>
      <c r="G612" s="288"/>
      <c r="H612" s="288"/>
      <c r="I612" s="288"/>
      <c r="J612" s="37"/>
      <c r="K612" s="27"/>
      <c r="L612" s="27"/>
      <c r="M612" s="27"/>
      <c r="N612" s="27"/>
      <c r="O612" s="27"/>
      <c r="P612" s="27"/>
      <c r="Q612" s="27"/>
      <c r="R612" s="27"/>
      <c r="S612" s="27"/>
      <c r="T612" s="27"/>
      <c r="U612" s="27"/>
      <c r="V612" s="28"/>
      <c r="W612" s="28"/>
      <c r="X612" s="28"/>
      <c r="Y612" s="28"/>
      <c r="Z612" s="28"/>
      <c r="AA612" s="28"/>
      <c r="AB612" s="28"/>
      <c r="AC612" s="28"/>
      <c r="AD612" s="28"/>
      <c r="AE612" s="28"/>
      <c r="AF612" s="28"/>
      <c r="AG612" s="28"/>
      <c r="AH612" s="28"/>
      <c r="AI612" s="28"/>
      <c r="AJ612" s="28"/>
      <c r="AK612" s="28"/>
      <c r="AL612" s="28"/>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row>
    <row r="613" spans="1:114" s="38" customFormat="1" ht="15">
      <c r="A613" s="242"/>
      <c r="B613" s="288" t="s">
        <v>345</v>
      </c>
      <c r="C613" s="288"/>
      <c r="D613" s="288"/>
      <c r="E613" s="288"/>
      <c r="F613" s="288"/>
      <c r="G613" s="288"/>
      <c r="H613" s="288"/>
      <c r="I613" s="288"/>
      <c r="J613" s="37"/>
      <c r="K613" s="27"/>
      <c r="L613" s="27"/>
      <c r="M613" s="27"/>
      <c r="N613" s="27"/>
      <c r="O613" s="27"/>
      <c r="P613" s="27"/>
      <c r="Q613" s="27"/>
      <c r="R613" s="27"/>
      <c r="S613" s="27"/>
      <c r="T613" s="27"/>
      <c r="U613" s="27"/>
      <c r="V613" s="28"/>
      <c r="W613" s="28"/>
      <c r="X613" s="28"/>
      <c r="Y613" s="28"/>
      <c r="Z613" s="28"/>
      <c r="AA613" s="28"/>
      <c r="AB613" s="28"/>
      <c r="AC613" s="28"/>
      <c r="AD613" s="28"/>
      <c r="AE613" s="28"/>
      <c r="AF613" s="28"/>
      <c r="AG613" s="28"/>
      <c r="AH613" s="28"/>
      <c r="AI613" s="28"/>
      <c r="AJ613" s="28"/>
      <c r="AK613" s="28"/>
      <c r="AL613" s="28"/>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row>
    <row r="614" spans="1:114" s="38" customFormat="1" ht="15">
      <c r="A614" s="242">
        <v>9</v>
      </c>
      <c r="B614" s="288" t="s">
        <v>612</v>
      </c>
      <c r="C614" s="288"/>
      <c r="D614" s="288"/>
      <c r="E614" s="288"/>
      <c r="F614" s="288"/>
      <c r="G614" s="288"/>
      <c r="H614" s="288"/>
      <c r="I614" s="288"/>
      <c r="J614" s="37"/>
      <c r="K614" s="27"/>
      <c r="L614" s="27"/>
      <c r="M614" s="27"/>
      <c r="N614" s="27"/>
      <c r="O614" s="27"/>
      <c r="P614" s="27"/>
      <c r="Q614" s="27"/>
      <c r="R614" s="27"/>
      <c r="S614" s="27"/>
      <c r="T614" s="27"/>
      <c r="U614" s="27"/>
      <c r="V614" s="28"/>
      <c r="W614" s="28"/>
      <c r="X614" s="28"/>
      <c r="Y614" s="28"/>
      <c r="Z614" s="28"/>
      <c r="AA614" s="28"/>
      <c r="AB614" s="28"/>
      <c r="AC614" s="28"/>
      <c r="AD614" s="28"/>
      <c r="AE614" s="28"/>
      <c r="AF614" s="28"/>
      <c r="AG614" s="28"/>
      <c r="AH614" s="28"/>
      <c r="AI614" s="28"/>
      <c r="AJ614" s="28"/>
      <c r="AK614" s="28"/>
      <c r="AL614" s="28"/>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row>
    <row r="615" spans="1:114" s="38" customFormat="1" ht="30" customHeight="1">
      <c r="A615" s="242">
        <v>10</v>
      </c>
      <c r="B615" s="288" t="s">
        <v>621</v>
      </c>
      <c r="C615" s="288"/>
      <c r="D615" s="288"/>
      <c r="E615" s="288"/>
      <c r="F615" s="288"/>
      <c r="G615" s="288"/>
      <c r="H615" s="288"/>
      <c r="I615" s="288"/>
      <c r="J615" s="37"/>
      <c r="K615" s="27"/>
      <c r="L615" s="27"/>
      <c r="M615" s="27"/>
      <c r="N615" s="27"/>
      <c r="O615" s="27"/>
      <c r="P615" s="27"/>
      <c r="Q615" s="27"/>
      <c r="R615" s="27"/>
      <c r="S615" s="27"/>
      <c r="T615" s="27"/>
      <c r="U615" s="27"/>
      <c r="V615" s="28"/>
      <c r="W615" s="28"/>
      <c r="X615" s="28"/>
      <c r="Y615" s="28"/>
      <c r="Z615" s="28"/>
      <c r="AA615" s="28"/>
      <c r="AB615" s="28"/>
      <c r="AC615" s="28"/>
      <c r="AD615" s="28"/>
      <c r="AE615" s="28"/>
      <c r="AF615" s="28"/>
      <c r="AG615" s="28"/>
      <c r="AH615" s="28"/>
      <c r="AI615" s="28"/>
      <c r="AJ615" s="28"/>
      <c r="AK615" s="28"/>
      <c r="AL615" s="28"/>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row>
    <row r="616" spans="1:114" s="38" customFormat="1" ht="15">
      <c r="A616" s="242">
        <v>11</v>
      </c>
      <c r="B616" s="288" t="s">
        <v>466</v>
      </c>
      <c r="C616" s="288"/>
      <c r="D616" s="288"/>
      <c r="E616" s="288"/>
      <c r="F616" s="288"/>
      <c r="G616" s="288"/>
      <c r="H616" s="288"/>
      <c r="I616" s="288"/>
      <c r="J616" s="37"/>
      <c r="K616" s="27"/>
      <c r="L616" s="27"/>
      <c r="M616" s="27"/>
      <c r="N616" s="27"/>
      <c r="O616" s="27"/>
      <c r="P616" s="27"/>
      <c r="Q616" s="27"/>
      <c r="R616" s="27"/>
      <c r="S616" s="27"/>
      <c r="T616" s="27"/>
      <c r="U616" s="27"/>
      <c r="V616" s="28"/>
      <c r="W616" s="28"/>
      <c r="X616" s="28"/>
      <c r="Y616" s="28"/>
      <c r="Z616" s="28"/>
      <c r="AA616" s="28"/>
      <c r="AB616" s="28"/>
      <c r="AC616" s="28"/>
      <c r="AD616" s="28"/>
      <c r="AE616" s="28"/>
      <c r="AF616" s="28"/>
      <c r="AG616" s="28"/>
      <c r="AH616" s="28"/>
      <c r="AI616" s="28"/>
      <c r="AJ616" s="28"/>
      <c r="AK616" s="28"/>
      <c r="AL616" s="28"/>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row>
    <row r="617" spans="1:114" s="38" customFormat="1" ht="15">
      <c r="A617" s="242"/>
      <c r="B617" s="288" t="s">
        <v>346</v>
      </c>
      <c r="C617" s="288"/>
      <c r="D617" s="288"/>
      <c r="E617" s="288"/>
      <c r="F617" s="288"/>
      <c r="G617" s="288"/>
      <c r="H617" s="288"/>
      <c r="I617" s="288"/>
      <c r="J617" s="37"/>
      <c r="K617" s="27"/>
      <c r="L617" s="27"/>
      <c r="M617" s="27"/>
      <c r="N617" s="27"/>
      <c r="O617" s="27"/>
      <c r="P617" s="27"/>
      <c r="Q617" s="27"/>
      <c r="R617" s="27"/>
      <c r="S617" s="27"/>
      <c r="T617" s="27"/>
      <c r="U617" s="27"/>
      <c r="V617" s="28"/>
      <c r="W617" s="28"/>
      <c r="X617" s="28"/>
      <c r="Y617" s="28"/>
      <c r="Z617" s="28"/>
      <c r="AA617" s="28"/>
      <c r="AB617" s="28"/>
      <c r="AC617" s="28"/>
      <c r="AD617" s="28"/>
      <c r="AE617" s="28"/>
      <c r="AF617" s="28"/>
      <c r="AG617" s="28"/>
      <c r="AH617" s="28"/>
      <c r="AI617" s="28"/>
      <c r="AJ617" s="28"/>
      <c r="AK617" s="28"/>
      <c r="AL617" s="28"/>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row>
    <row r="618" spans="1:114" s="38" customFormat="1" ht="15">
      <c r="A618" s="242">
        <v>12</v>
      </c>
      <c r="B618" s="288" t="s">
        <v>347</v>
      </c>
      <c r="C618" s="288"/>
      <c r="D618" s="288"/>
      <c r="E618" s="288"/>
      <c r="F618" s="288"/>
      <c r="G618" s="288"/>
      <c r="H618" s="288"/>
      <c r="I618" s="288"/>
      <c r="J618" s="37"/>
      <c r="K618" s="27"/>
      <c r="L618" s="27"/>
      <c r="M618" s="27"/>
      <c r="N618" s="27"/>
      <c r="O618" s="27"/>
      <c r="P618" s="27"/>
      <c r="Q618" s="27"/>
      <c r="R618" s="27"/>
      <c r="S618" s="27"/>
      <c r="T618" s="27"/>
      <c r="U618" s="27"/>
      <c r="V618" s="28"/>
      <c r="W618" s="28"/>
      <c r="X618" s="28"/>
      <c r="Y618" s="28"/>
      <c r="Z618" s="28"/>
      <c r="AA618" s="28"/>
      <c r="AB618" s="28"/>
      <c r="AC618" s="28"/>
      <c r="AD618" s="28"/>
      <c r="AE618" s="28"/>
      <c r="AF618" s="28"/>
      <c r="AG618" s="28"/>
      <c r="AH618" s="28"/>
      <c r="AI618" s="28"/>
      <c r="AJ618" s="28"/>
      <c r="AK618" s="28"/>
      <c r="AL618" s="28"/>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row>
    <row r="619" spans="1:114" s="38" customFormat="1" ht="15.75" customHeight="1">
      <c r="A619" s="242">
        <v>13</v>
      </c>
      <c r="B619" s="288" t="s">
        <v>632</v>
      </c>
      <c r="C619" s="288"/>
      <c r="D619" s="288"/>
      <c r="E619" s="288"/>
      <c r="F619" s="288"/>
      <c r="G619" s="288"/>
      <c r="H619" s="288"/>
      <c r="I619" s="288"/>
      <c r="J619" s="37"/>
      <c r="K619" s="27"/>
      <c r="L619" s="27"/>
      <c r="M619" s="27"/>
      <c r="N619" s="27"/>
      <c r="O619" s="27"/>
      <c r="P619" s="27"/>
      <c r="Q619" s="27"/>
      <c r="R619" s="27"/>
      <c r="S619" s="27"/>
      <c r="T619" s="27"/>
      <c r="U619" s="27"/>
      <c r="V619" s="28"/>
      <c r="W619" s="28"/>
      <c r="X619" s="28"/>
      <c r="Y619" s="28"/>
      <c r="Z619" s="28"/>
      <c r="AA619" s="28"/>
      <c r="AB619" s="28"/>
      <c r="AC619" s="28"/>
      <c r="AD619" s="28"/>
      <c r="AE619" s="28"/>
      <c r="AF619" s="28"/>
      <c r="AG619" s="28"/>
      <c r="AH619" s="28"/>
      <c r="AI619" s="28"/>
      <c r="AJ619" s="28"/>
      <c r="AK619" s="28"/>
      <c r="AL619" s="28"/>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row>
    <row r="620" spans="1:114" s="38" customFormat="1" ht="17.25" customHeight="1">
      <c r="A620" s="242">
        <v>14</v>
      </c>
      <c r="B620" s="288" t="s">
        <v>634</v>
      </c>
      <c r="C620" s="288"/>
      <c r="D620" s="288"/>
      <c r="E620" s="288"/>
      <c r="F620" s="288"/>
      <c r="G620" s="288"/>
      <c r="H620" s="288"/>
      <c r="I620" s="288"/>
      <c r="J620" s="37"/>
      <c r="K620" s="27"/>
      <c r="L620" s="27"/>
      <c r="M620" s="27"/>
      <c r="N620" s="27"/>
      <c r="O620" s="27"/>
      <c r="P620" s="27"/>
      <c r="Q620" s="27"/>
      <c r="R620" s="27"/>
      <c r="S620" s="27"/>
      <c r="T620" s="27"/>
      <c r="U620" s="27"/>
      <c r="V620" s="28"/>
      <c r="W620" s="28"/>
      <c r="X620" s="28"/>
      <c r="Y620" s="28"/>
      <c r="Z620" s="28"/>
      <c r="AA620" s="28"/>
      <c r="AB620" s="28"/>
      <c r="AC620" s="28"/>
      <c r="AD620" s="28"/>
      <c r="AE620" s="28"/>
      <c r="AF620" s="28"/>
      <c r="AG620" s="28"/>
      <c r="AH620" s="28"/>
      <c r="AI620" s="28"/>
      <c r="AJ620" s="28"/>
      <c r="AK620" s="28"/>
      <c r="AL620" s="28"/>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row>
    <row r="621" spans="1:114" s="38" customFormat="1" ht="15">
      <c r="A621" s="242">
        <v>16</v>
      </c>
      <c r="B621" s="288" t="s">
        <v>348</v>
      </c>
      <c r="C621" s="288"/>
      <c r="D621" s="288"/>
      <c r="E621" s="288"/>
      <c r="F621" s="288"/>
      <c r="G621" s="288"/>
      <c r="H621" s="288"/>
      <c r="I621" s="288"/>
      <c r="J621" s="37"/>
      <c r="K621" s="27"/>
      <c r="L621" s="27"/>
      <c r="M621" s="27"/>
      <c r="N621" s="27"/>
      <c r="O621" s="27"/>
      <c r="P621" s="27"/>
      <c r="Q621" s="27"/>
      <c r="R621" s="27"/>
      <c r="S621" s="27"/>
      <c r="T621" s="27"/>
      <c r="U621" s="27"/>
      <c r="V621" s="28"/>
      <c r="W621" s="28"/>
      <c r="X621" s="28"/>
      <c r="Y621" s="28"/>
      <c r="Z621" s="28"/>
      <c r="AA621" s="28"/>
      <c r="AB621" s="28"/>
      <c r="AC621" s="28"/>
      <c r="AD621" s="28"/>
      <c r="AE621" s="28"/>
      <c r="AF621" s="28"/>
      <c r="AG621" s="28"/>
      <c r="AH621" s="28"/>
      <c r="AI621" s="28"/>
      <c r="AJ621" s="28"/>
      <c r="AK621" s="28"/>
      <c r="AL621" s="28"/>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row>
    <row r="622" spans="1:114" s="38" customFormat="1" ht="16.5" customHeight="1">
      <c r="A622" s="242">
        <v>17</v>
      </c>
      <c r="B622" s="288" t="s">
        <v>635</v>
      </c>
      <c r="C622" s="288"/>
      <c r="D622" s="288"/>
      <c r="E622" s="288"/>
      <c r="F622" s="288"/>
      <c r="G622" s="288"/>
      <c r="H622" s="288"/>
      <c r="I622" s="288"/>
      <c r="J622" s="37"/>
      <c r="K622" s="27"/>
      <c r="L622" s="27"/>
      <c r="M622" s="27"/>
      <c r="N622" s="27"/>
      <c r="O622" s="27"/>
      <c r="P622" s="27"/>
      <c r="Q622" s="27"/>
      <c r="R622" s="27"/>
      <c r="S622" s="27"/>
      <c r="T622" s="27"/>
      <c r="U622" s="27"/>
      <c r="V622" s="28"/>
      <c r="W622" s="28"/>
      <c r="X622" s="28"/>
      <c r="Y622" s="28"/>
      <c r="Z622" s="28"/>
      <c r="AA622" s="28"/>
      <c r="AB622" s="28"/>
      <c r="AC622" s="28"/>
      <c r="AD622" s="28"/>
      <c r="AE622" s="28"/>
      <c r="AF622" s="28"/>
      <c r="AG622" s="28"/>
      <c r="AH622" s="28"/>
      <c r="AI622" s="28"/>
      <c r="AJ622" s="28"/>
      <c r="AK622" s="28"/>
      <c r="AL622" s="28"/>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row>
    <row r="623" spans="1:114" s="38" customFormat="1" ht="15">
      <c r="A623" s="242">
        <v>18</v>
      </c>
      <c r="B623" s="288" t="s">
        <v>636</v>
      </c>
      <c r="C623" s="288"/>
      <c r="D623" s="288"/>
      <c r="E623" s="288"/>
      <c r="F623" s="288"/>
      <c r="G623" s="288"/>
      <c r="H623" s="288"/>
      <c r="I623" s="288"/>
      <c r="J623" s="37"/>
      <c r="K623" s="27"/>
      <c r="L623" s="27"/>
      <c r="M623" s="27"/>
      <c r="N623" s="27"/>
      <c r="O623" s="27"/>
      <c r="P623" s="27"/>
      <c r="Q623" s="27"/>
      <c r="R623" s="27"/>
      <c r="S623" s="27"/>
      <c r="T623" s="27"/>
      <c r="U623" s="27"/>
      <c r="V623" s="28"/>
      <c r="W623" s="28"/>
      <c r="X623" s="28"/>
      <c r="Y623" s="28"/>
      <c r="Z623" s="28"/>
      <c r="AA623" s="28"/>
      <c r="AB623" s="28"/>
      <c r="AC623" s="28"/>
      <c r="AD623" s="28"/>
      <c r="AE623" s="28"/>
      <c r="AF623" s="28"/>
      <c r="AG623" s="28"/>
      <c r="AH623" s="28"/>
      <c r="AI623" s="28"/>
      <c r="AJ623" s="28"/>
      <c r="AK623" s="28"/>
      <c r="AL623" s="28"/>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row>
    <row r="624" spans="1:114" s="38" customFormat="1" ht="15">
      <c r="A624" s="242">
        <v>19</v>
      </c>
      <c r="B624" s="288" t="s">
        <v>351</v>
      </c>
      <c r="C624" s="288"/>
      <c r="D624" s="288"/>
      <c r="E624" s="288"/>
      <c r="F624" s="288"/>
      <c r="G624" s="288"/>
      <c r="H624" s="288"/>
      <c r="I624" s="288"/>
      <c r="J624" s="37"/>
      <c r="K624" s="27"/>
      <c r="L624" s="27"/>
      <c r="M624" s="27"/>
      <c r="N624" s="27"/>
      <c r="O624" s="27"/>
      <c r="P624" s="27"/>
      <c r="Q624" s="27"/>
      <c r="R624" s="27"/>
      <c r="S624" s="27"/>
      <c r="T624" s="27"/>
      <c r="U624" s="27"/>
      <c r="V624" s="28"/>
      <c r="W624" s="28"/>
      <c r="X624" s="28"/>
      <c r="Y624" s="28"/>
      <c r="Z624" s="28"/>
      <c r="AA624" s="28"/>
      <c r="AB624" s="28"/>
      <c r="AC624" s="28"/>
      <c r="AD624" s="28"/>
      <c r="AE624" s="28"/>
      <c r="AF624" s="28"/>
      <c r="AG624" s="28"/>
      <c r="AH624" s="28"/>
      <c r="AI624" s="28"/>
      <c r="AJ624" s="28"/>
      <c r="AK624" s="28"/>
      <c r="AL624" s="28"/>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row>
    <row r="625" spans="1:114" s="38" customFormat="1" ht="15">
      <c r="A625" s="242">
        <v>20</v>
      </c>
      <c r="B625" s="288" t="s">
        <v>358</v>
      </c>
      <c r="C625" s="288"/>
      <c r="D625" s="288"/>
      <c r="E625" s="288"/>
      <c r="F625" s="288"/>
      <c r="G625" s="288"/>
      <c r="H625" s="288"/>
      <c r="I625" s="288"/>
      <c r="J625" s="37"/>
      <c r="K625" s="27"/>
      <c r="L625" s="27"/>
      <c r="M625" s="27"/>
      <c r="N625" s="27"/>
      <c r="O625" s="27"/>
      <c r="P625" s="27"/>
      <c r="Q625" s="27"/>
      <c r="R625" s="27"/>
      <c r="S625" s="27"/>
      <c r="T625" s="27"/>
      <c r="U625" s="27"/>
      <c r="V625" s="28"/>
      <c r="W625" s="28"/>
      <c r="X625" s="28"/>
      <c r="Y625" s="28"/>
      <c r="Z625" s="28"/>
      <c r="AA625" s="28"/>
      <c r="AB625" s="28"/>
      <c r="AC625" s="28"/>
      <c r="AD625" s="28"/>
      <c r="AE625" s="28"/>
      <c r="AF625" s="28"/>
      <c r="AG625" s="28"/>
      <c r="AH625" s="28"/>
      <c r="AI625" s="28"/>
      <c r="AJ625" s="28"/>
      <c r="AK625" s="28"/>
      <c r="AL625" s="28"/>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row>
    <row r="626" spans="1:114" s="38" customFormat="1" ht="15">
      <c r="A626" s="242">
        <v>21</v>
      </c>
      <c r="B626" s="288" t="s">
        <v>1019</v>
      </c>
      <c r="C626" s="288"/>
      <c r="D626" s="288"/>
      <c r="E626" s="288"/>
      <c r="F626" s="288"/>
      <c r="G626" s="288"/>
      <c r="H626" s="288"/>
      <c r="I626" s="288"/>
      <c r="J626" s="37"/>
      <c r="K626" s="27"/>
      <c r="L626" s="27"/>
      <c r="M626" s="27"/>
      <c r="N626" s="27"/>
      <c r="O626" s="27"/>
      <c r="P626" s="27"/>
      <c r="Q626" s="27"/>
      <c r="R626" s="27"/>
      <c r="S626" s="27"/>
      <c r="T626" s="27"/>
      <c r="U626" s="27"/>
      <c r="V626" s="28"/>
      <c r="W626" s="28"/>
      <c r="X626" s="28"/>
      <c r="Y626" s="28"/>
      <c r="Z626" s="28"/>
      <c r="AA626" s="28"/>
      <c r="AB626" s="28"/>
      <c r="AC626" s="28"/>
      <c r="AD626" s="28"/>
      <c r="AE626" s="28"/>
      <c r="AF626" s="28"/>
      <c r="AG626" s="28"/>
      <c r="AH626" s="28"/>
      <c r="AI626" s="28"/>
      <c r="AJ626" s="28"/>
      <c r="AK626" s="28"/>
      <c r="AL626" s="28"/>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row>
    <row r="627" spans="1:114" s="38" customFormat="1" ht="15">
      <c r="A627" s="242">
        <v>22</v>
      </c>
      <c r="B627" s="288" t="s">
        <v>359</v>
      </c>
      <c r="C627" s="288"/>
      <c r="D627" s="288"/>
      <c r="E627" s="288"/>
      <c r="F627" s="288"/>
      <c r="G627" s="288"/>
      <c r="H627" s="288"/>
      <c r="I627" s="288"/>
      <c r="J627" s="37"/>
      <c r="K627" s="27"/>
      <c r="L627" s="27"/>
      <c r="M627" s="27"/>
      <c r="N627" s="27"/>
      <c r="O627" s="27"/>
      <c r="P627" s="27"/>
      <c r="Q627" s="27"/>
      <c r="R627" s="27"/>
      <c r="S627" s="27"/>
      <c r="T627" s="27"/>
      <c r="U627" s="27"/>
      <c r="V627" s="28"/>
      <c r="W627" s="28"/>
      <c r="X627" s="28"/>
      <c r="Y627" s="28"/>
      <c r="Z627" s="28"/>
      <c r="AA627" s="28"/>
      <c r="AB627" s="28"/>
      <c r="AC627" s="28"/>
      <c r="AD627" s="28"/>
      <c r="AE627" s="28"/>
      <c r="AF627" s="28"/>
      <c r="AG627" s="28"/>
      <c r="AH627" s="28"/>
      <c r="AI627" s="28"/>
      <c r="AJ627" s="28"/>
      <c r="AK627" s="28"/>
      <c r="AL627" s="28"/>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row>
    <row r="628" spans="1:114" s="38" customFormat="1" ht="15">
      <c r="A628" s="242">
        <v>23</v>
      </c>
      <c r="B628" s="288" t="s">
        <v>360</v>
      </c>
      <c r="C628" s="288"/>
      <c r="D628" s="288"/>
      <c r="E628" s="288"/>
      <c r="F628" s="288"/>
      <c r="G628" s="288"/>
      <c r="H628" s="288"/>
      <c r="I628" s="288"/>
      <c r="J628" s="37"/>
      <c r="K628" s="27"/>
      <c r="L628" s="27"/>
      <c r="M628" s="27"/>
      <c r="N628" s="27"/>
      <c r="O628" s="27"/>
      <c r="P628" s="27"/>
      <c r="Q628" s="27"/>
      <c r="R628" s="27"/>
      <c r="S628" s="27"/>
      <c r="T628" s="27"/>
      <c r="U628" s="27"/>
      <c r="V628" s="28"/>
      <c r="W628" s="28"/>
      <c r="X628" s="28"/>
      <c r="Y628" s="28"/>
      <c r="Z628" s="28"/>
      <c r="AA628" s="28"/>
      <c r="AB628" s="28"/>
      <c r="AC628" s="28"/>
      <c r="AD628" s="28"/>
      <c r="AE628" s="28"/>
      <c r="AF628" s="28"/>
      <c r="AG628" s="28"/>
      <c r="AH628" s="28"/>
      <c r="AI628" s="28"/>
      <c r="AJ628" s="28"/>
      <c r="AK628" s="28"/>
      <c r="AL628" s="28"/>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row>
    <row r="629" spans="1:114" s="38" customFormat="1" ht="15">
      <c r="A629" s="242"/>
      <c r="B629" s="288" t="s">
        <v>361</v>
      </c>
      <c r="C629" s="288"/>
      <c r="D629" s="288"/>
      <c r="E629" s="288"/>
      <c r="F629" s="288"/>
      <c r="G629" s="288"/>
      <c r="H629" s="288"/>
      <c r="I629" s="288"/>
      <c r="J629" s="37"/>
      <c r="K629" s="27"/>
      <c r="L629" s="27"/>
      <c r="M629" s="27"/>
      <c r="N629" s="27"/>
      <c r="O629" s="27"/>
      <c r="P629" s="27"/>
      <c r="Q629" s="27"/>
      <c r="R629" s="27"/>
      <c r="S629" s="27"/>
      <c r="T629" s="27"/>
      <c r="U629" s="27"/>
      <c r="V629" s="28"/>
      <c r="W629" s="28"/>
      <c r="X629" s="28"/>
      <c r="Y629" s="28"/>
      <c r="Z629" s="28"/>
      <c r="AA629" s="28"/>
      <c r="AB629" s="28"/>
      <c r="AC629" s="28"/>
      <c r="AD629" s="28"/>
      <c r="AE629" s="28"/>
      <c r="AF629" s="28"/>
      <c r="AG629" s="28"/>
      <c r="AH629" s="28"/>
      <c r="AI629" s="28"/>
      <c r="AJ629" s="28"/>
      <c r="AK629" s="28"/>
      <c r="AL629" s="28"/>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row>
    <row r="630" spans="1:114" s="38" customFormat="1" ht="15">
      <c r="A630" s="242">
        <v>24</v>
      </c>
      <c r="B630" s="288" t="s">
        <v>362</v>
      </c>
      <c r="C630" s="288"/>
      <c r="D630" s="288"/>
      <c r="E630" s="288"/>
      <c r="F630" s="288"/>
      <c r="G630" s="288"/>
      <c r="H630" s="288"/>
      <c r="I630" s="288"/>
      <c r="J630" s="37"/>
      <c r="K630" s="27"/>
      <c r="L630" s="27"/>
      <c r="M630" s="27"/>
      <c r="N630" s="27"/>
      <c r="O630" s="27"/>
      <c r="P630" s="27"/>
      <c r="Q630" s="27"/>
      <c r="R630" s="27"/>
      <c r="S630" s="27"/>
      <c r="T630" s="27"/>
      <c r="U630" s="27"/>
      <c r="V630" s="28"/>
      <c r="W630" s="28"/>
      <c r="X630" s="28"/>
      <c r="Y630" s="28"/>
      <c r="Z630" s="28"/>
      <c r="AA630" s="28"/>
      <c r="AB630" s="28"/>
      <c r="AC630" s="28"/>
      <c r="AD630" s="28"/>
      <c r="AE630" s="28"/>
      <c r="AF630" s="28"/>
      <c r="AG630" s="28"/>
      <c r="AH630" s="28"/>
      <c r="AI630" s="28"/>
      <c r="AJ630" s="28"/>
      <c r="AK630" s="28"/>
      <c r="AL630" s="28"/>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row>
    <row r="631" spans="1:114" s="38" customFormat="1" ht="15">
      <c r="A631" s="242">
        <v>25</v>
      </c>
      <c r="B631" s="288" t="s">
        <v>363</v>
      </c>
      <c r="C631" s="288"/>
      <c r="D631" s="288"/>
      <c r="E631" s="288"/>
      <c r="F631" s="288"/>
      <c r="G631" s="288"/>
      <c r="H631" s="288"/>
      <c r="I631" s="288"/>
      <c r="J631" s="37"/>
      <c r="K631" s="27"/>
      <c r="L631" s="27"/>
      <c r="M631" s="27"/>
      <c r="N631" s="27"/>
      <c r="O631" s="27"/>
      <c r="P631" s="27"/>
      <c r="Q631" s="27"/>
      <c r="R631" s="27"/>
      <c r="S631" s="27"/>
      <c r="T631" s="27"/>
      <c r="U631" s="27"/>
      <c r="V631" s="28"/>
      <c r="W631" s="28"/>
      <c r="X631" s="28"/>
      <c r="Y631" s="28"/>
      <c r="Z631" s="28"/>
      <c r="AA631" s="28"/>
      <c r="AB631" s="28"/>
      <c r="AC631" s="28"/>
      <c r="AD631" s="28"/>
      <c r="AE631" s="28"/>
      <c r="AF631" s="28"/>
      <c r="AG631" s="28"/>
      <c r="AH631" s="28"/>
      <c r="AI631" s="28"/>
      <c r="AJ631" s="28"/>
      <c r="AK631" s="28"/>
      <c r="AL631" s="28"/>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row>
    <row r="632" spans="1:114" s="38" customFormat="1" ht="15">
      <c r="A632" s="242">
        <v>26</v>
      </c>
      <c r="B632" s="288" t="s">
        <v>366</v>
      </c>
      <c r="C632" s="288"/>
      <c r="D632" s="288"/>
      <c r="E632" s="288"/>
      <c r="F632" s="288"/>
      <c r="G632" s="288"/>
      <c r="H632" s="288"/>
      <c r="I632" s="288"/>
      <c r="J632" s="37"/>
      <c r="K632" s="27"/>
      <c r="L632" s="27"/>
      <c r="M632" s="27"/>
      <c r="N632" s="27"/>
      <c r="O632" s="27"/>
      <c r="P632" s="27"/>
      <c r="Q632" s="27"/>
      <c r="R632" s="27"/>
      <c r="S632" s="27"/>
      <c r="T632" s="27"/>
      <c r="U632" s="27"/>
      <c r="V632" s="28"/>
      <c r="W632" s="28"/>
      <c r="X632" s="28"/>
      <c r="Y632" s="28"/>
      <c r="Z632" s="28"/>
      <c r="AA632" s="28"/>
      <c r="AB632" s="28"/>
      <c r="AC632" s="28"/>
      <c r="AD632" s="28"/>
      <c r="AE632" s="28"/>
      <c r="AF632" s="28"/>
      <c r="AG632" s="28"/>
      <c r="AH632" s="28"/>
      <c r="AI632" s="28"/>
      <c r="AJ632" s="28"/>
      <c r="AK632" s="28"/>
      <c r="AL632" s="28"/>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row>
    <row r="633" spans="1:114" s="38" customFormat="1" ht="15">
      <c r="A633" s="242">
        <v>27</v>
      </c>
      <c r="B633" s="288" t="s">
        <v>521</v>
      </c>
      <c r="C633" s="288"/>
      <c r="D633" s="288"/>
      <c r="E633" s="288"/>
      <c r="F633" s="288"/>
      <c r="G633" s="288"/>
      <c r="H633" s="288"/>
      <c r="I633" s="288"/>
      <c r="J633" s="37"/>
      <c r="K633" s="27"/>
      <c r="L633" s="27"/>
      <c r="M633" s="27"/>
      <c r="N633" s="27"/>
      <c r="O633" s="27"/>
      <c r="P633" s="27"/>
      <c r="Q633" s="27"/>
      <c r="R633" s="27"/>
      <c r="S633" s="27"/>
      <c r="T633" s="27"/>
      <c r="U633" s="27"/>
      <c r="V633" s="28"/>
      <c r="W633" s="28"/>
      <c r="X633" s="28"/>
      <c r="Y633" s="28"/>
      <c r="Z633" s="28"/>
      <c r="AA633" s="28"/>
      <c r="AB633" s="28"/>
      <c r="AC633" s="28"/>
      <c r="AD633" s="28"/>
      <c r="AE633" s="28"/>
      <c r="AF633" s="28"/>
      <c r="AG633" s="28"/>
      <c r="AH633" s="28"/>
      <c r="AI633" s="28"/>
      <c r="AJ633" s="28"/>
      <c r="AK633" s="28"/>
      <c r="AL633" s="28"/>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row>
    <row r="634" spans="1:114" s="38" customFormat="1" ht="15">
      <c r="A634" s="242">
        <v>28</v>
      </c>
      <c r="B634" s="288" t="s">
        <v>377</v>
      </c>
      <c r="C634" s="288"/>
      <c r="D634" s="288"/>
      <c r="E634" s="288"/>
      <c r="F634" s="288"/>
      <c r="G634" s="288"/>
      <c r="H634" s="288"/>
      <c r="I634" s="288"/>
      <c r="J634" s="37"/>
      <c r="K634" s="27"/>
      <c r="L634" s="27"/>
      <c r="M634" s="27"/>
      <c r="N634" s="27"/>
      <c r="O634" s="27"/>
      <c r="P634" s="27"/>
      <c r="Q634" s="27"/>
      <c r="R634" s="27"/>
      <c r="S634" s="27"/>
      <c r="T634" s="27"/>
      <c r="U634" s="27"/>
      <c r="V634" s="28"/>
      <c r="W634" s="28"/>
      <c r="X634" s="28"/>
      <c r="Y634" s="28"/>
      <c r="Z634" s="28"/>
      <c r="AA634" s="28"/>
      <c r="AB634" s="28"/>
      <c r="AC634" s="28"/>
      <c r="AD634" s="28"/>
      <c r="AE634" s="28"/>
      <c r="AF634" s="28"/>
      <c r="AG634" s="28"/>
      <c r="AH634" s="28"/>
      <c r="AI634" s="28"/>
      <c r="AJ634" s="28"/>
      <c r="AK634" s="28"/>
      <c r="AL634" s="28"/>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row>
    <row r="635" spans="1:114" s="38" customFormat="1" ht="15">
      <c r="A635" s="242">
        <v>29</v>
      </c>
      <c r="B635" s="288" t="s">
        <v>378</v>
      </c>
      <c r="C635" s="288"/>
      <c r="D635" s="288"/>
      <c r="E635" s="288"/>
      <c r="F635" s="288"/>
      <c r="G635" s="288"/>
      <c r="H635" s="288"/>
      <c r="I635" s="288"/>
      <c r="J635" s="37"/>
      <c r="K635" s="27"/>
      <c r="L635" s="27"/>
      <c r="M635" s="27"/>
      <c r="N635" s="27"/>
      <c r="O635" s="27"/>
      <c r="P635" s="27"/>
      <c r="Q635" s="27"/>
      <c r="R635" s="27"/>
      <c r="S635" s="27"/>
      <c r="T635" s="27"/>
      <c r="U635" s="27"/>
      <c r="V635" s="28"/>
      <c r="W635" s="28"/>
      <c r="X635" s="28"/>
      <c r="Y635" s="28"/>
      <c r="Z635" s="28"/>
      <c r="AA635" s="28"/>
      <c r="AB635" s="28"/>
      <c r="AC635" s="28"/>
      <c r="AD635" s="28"/>
      <c r="AE635" s="28"/>
      <c r="AF635" s="28"/>
      <c r="AG635" s="28"/>
      <c r="AH635" s="28"/>
      <c r="AI635" s="28"/>
      <c r="AJ635" s="28"/>
      <c r="AK635" s="28"/>
      <c r="AL635" s="28"/>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row>
    <row r="636" spans="1:114" s="38" customFormat="1" ht="15">
      <c r="A636" s="242">
        <v>30</v>
      </c>
      <c r="B636" s="288" t="s">
        <v>382</v>
      </c>
      <c r="C636" s="288"/>
      <c r="D636" s="288"/>
      <c r="E636" s="288"/>
      <c r="F636" s="288"/>
      <c r="G636" s="288"/>
      <c r="H636" s="288"/>
      <c r="I636" s="288"/>
      <c r="J636" s="37"/>
      <c r="K636" s="27"/>
      <c r="L636" s="27"/>
      <c r="M636" s="27"/>
      <c r="N636" s="27"/>
      <c r="O636" s="27"/>
      <c r="P636" s="27"/>
      <c r="Q636" s="27"/>
      <c r="R636" s="27"/>
      <c r="S636" s="27"/>
      <c r="T636" s="27"/>
      <c r="U636" s="27"/>
      <c r="V636" s="28"/>
      <c r="W636" s="28"/>
      <c r="X636" s="28"/>
      <c r="Y636" s="28"/>
      <c r="Z636" s="28"/>
      <c r="AA636" s="28"/>
      <c r="AB636" s="28"/>
      <c r="AC636" s="28"/>
      <c r="AD636" s="28"/>
      <c r="AE636" s="28"/>
      <c r="AF636" s="28"/>
      <c r="AG636" s="28"/>
      <c r="AH636" s="28"/>
      <c r="AI636" s="28"/>
      <c r="AJ636" s="28"/>
      <c r="AK636" s="28"/>
      <c r="AL636" s="28"/>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row>
    <row r="637" spans="1:114" s="38" customFormat="1" ht="15">
      <c r="A637" s="242">
        <v>31</v>
      </c>
      <c r="B637" s="288" t="s">
        <v>385</v>
      </c>
      <c r="C637" s="288"/>
      <c r="D637" s="288"/>
      <c r="E637" s="288"/>
      <c r="F637" s="288"/>
      <c r="G637" s="288"/>
      <c r="H637" s="288"/>
      <c r="I637" s="288"/>
      <c r="J637" s="37"/>
      <c r="K637" s="27"/>
      <c r="L637" s="27"/>
      <c r="M637" s="27"/>
      <c r="N637" s="27"/>
      <c r="O637" s="27"/>
      <c r="P637" s="27"/>
      <c r="Q637" s="27"/>
      <c r="R637" s="27"/>
      <c r="S637" s="27"/>
      <c r="T637" s="27"/>
      <c r="U637" s="27"/>
      <c r="V637" s="28"/>
      <c r="W637" s="28"/>
      <c r="X637" s="28"/>
      <c r="Y637" s="28"/>
      <c r="Z637" s="28"/>
      <c r="AA637" s="28"/>
      <c r="AB637" s="28"/>
      <c r="AC637" s="28"/>
      <c r="AD637" s="28"/>
      <c r="AE637" s="28"/>
      <c r="AF637" s="28"/>
      <c r="AG637" s="28"/>
      <c r="AH637" s="28"/>
      <c r="AI637" s="28"/>
      <c r="AJ637" s="28"/>
      <c r="AK637" s="28"/>
      <c r="AL637" s="28"/>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row>
    <row r="638" spans="1:114" s="38" customFormat="1" ht="15">
      <c r="A638" s="242">
        <v>32</v>
      </c>
      <c r="B638" s="288" t="s">
        <v>386</v>
      </c>
      <c r="C638" s="288"/>
      <c r="D638" s="288"/>
      <c r="E638" s="288"/>
      <c r="F638" s="288"/>
      <c r="G638" s="288"/>
      <c r="H638" s="288"/>
      <c r="I638" s="288"/>
      <c r="J638" s="37"/>
      <c r="K638" s="27"/>
      <c r="L638" s="27"/>
      <c r="M638" s="27"/>
      <c r="N638" s="27"/>
      <c r="O638" s="27"/>
      <c r="P638" s="27"/>
      <c r="Q638" s="27"/>
      <c r="R638" s="27"/>
      <c r="S638" s="27"/>
      <c r="T638" s="27"/>
      <c r="U638" s="27"/>
      <c r="V638" s="28"/>
      <c r="W638" s="28"/>
      <c r="X638" s="28"/>
      <c r="Y638" s="28"/>
      <c r="Z638" s="28"/>
      <c r="AA638" s="28"/>
      <c r="AB638" s="28"/>
      <c r="AC638" s="28"/>
      <c r="AD638" s="28"/>
      <c r="AE638" s="28"/>
      <c r="AF638" s="28"/>
      <c r="AG638" s="28"/>
      <c r="AH638" s="28"/>
      <c r="AI638" s="28"/>
      <c r="AJ638" s="28"/>
      <c r="AK638" s="28"/>
      <c r="AL638" s="28"/>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row>
    <row r="639" spans="1:114" s="38" customFormat="1" ht="15">
      <c r="A639" s="242">
        <v>33</v>
      </c>
      <c r="B639" s="288" t="s">
        <v>391</v>
      </c>
      <c r="C639" s="288"/>
      <c r="D639" s="288"/>
      <c r="E639" s="288"/>
      <c r="F639" s="288"/>
      <c r="G639" s="288"/>
      <c r="H639" s="288"/>
      <c r="I639" s="288"/>
      <c r="J639" s="37"/>
      <c r="K639" s="27"/>
      <c r="L639" s="27"/>
      <c r="M639" s="27"/>
      <c r="N639" s="27"/>
      <c r="O639" s="27"/>
      <c r="P639" s="27"/>
      <c r="Q639" s="27"/>
      <c r="R639" s="27"/>
      <c r="S639" s="27"/>
      <c r="T639" s="27"/>
      <c r="U639" s="27"/>
      <c r="V639" s="28"/>
      <c r="W639" s="28"/>
      <c r="X639" s="28"/>
      <c r="Y639" s="28"/>
      <c r="Z639" s="28"/>
      <c r="AA639" s="28"/>
      <c r="AB639" s="28"/>
      <c r="AC639" s="28"/>
      <c r="AD639" s="28"/>
      <c r="AE639" s="28"/>
      <c r="AF639" s="28"/>
      <c r="AG639" s="28"/>
      <c r="AH639" s="28"/>
      <c r="AI639" s="28"/>
      <c r="AJ639" s="28"/>
      <c r="AK639" s="28"/>
      <c r="AL639" s="28"/>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row>
    <row r="640" spans="1:114" s="38" customFormat="1" ht="15">
      <c r="A640" s="242">
        <v>34</v>
      </c>
      <c r="B640" s="288" t="s">
        <v>463</v>
      </c>
      <c r="C640" s="288"/>
      <c r="D640" s="288"/>
      <c r="E640" s="288"/>
      <c r="F640" s="288"/>
      <c r="G640" s="288"/>
      <c r="H640" s="288"/>
      <c r="I640" s="288"/>
      <c r="J640" s="37"/>
      <c r="K640" s="27"/>
      <c r="L640" s="27"/>
      <c r="M640" s="27"/>
      <c r="N640" s="27"/>
      <c r="O640" s="27"/>
      <c r="P640" s="27"/>
      <c r="Q640" s="27"/>
      <c r="R640" s="27"/>
      <c r="S640" s="27"/>
      <c r="T640" s="27"/>
      <c r="U640" s="27"/>
      <c r="V640" s="28"/>
      <c r="W640" s="28"/>
      <c r="X640" s="28"/>
      <c r="Y640" s="28"/>
      <c r="Z640" s="28"/>
      <c r="AA640" s="28"/>
      <c r="AB640" s="28"/>
      <c r="AC640" s="28"/>
      <c r="AD640" s="28"/>
      <c r="AE640" s="28"/>
      <c r="AF640" s="28"/>
      <c r="AG640" s="28"/>
      <c r="AH640" s="28"/>
      <c r="AI640" s="28"/>
      <c r="AJ640" s="28"/>
      <c r="AK640" s="28"/>
      <c r="AL640" s="28"/>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row>
    <row r="641" spans="1:114" s="38" customFormat="1" ht="15">
      <c r="A641" s="242">
        <v>35</v>
      </c>
      <c r="B641" s="288" t="s">
        <v>392</v>
      </c>
      <c r="C641" s="288"/>
      <c r="D641" s="288"/>
      <c r="E641" s="288"/>
      <c r="F641" s="288"/>
      <c r="G641" s="288"/>
      <c r="H641" s="288"/>
      <c r="I641" s="288"/>
      <c r="J641" s="37"/>
      <c r="K641" s="27"/>
      <c r="L641" s="27"/>
      <c r="M641" s="27"/>
      <c r="N641" s="27"/>
      <c r="O641" s="27"/>
      <c r="P641" s="27"/>
      <c r="Q641" s="27"/>
      <c r="R641" s="27"/>
      <c r="S641" s="27"/>
      <c r="T641" s="27"/>
      <c r="U641" s="27"/>
      <c r="V641" s="28"/>
      <c r="W641" s="28"/>
      <c r="X641" s="28"/>
      <c r="Y641" s="28"/>
      <c r="Z641" s="28"/>
      <c r="AA641" s="28"/>
      <c r="AB641" s="28"/>
      <c r="AC641" s="28"/>
      <c r="AD641" s="28"/>
      <c r="AE641" s="28"/>
      <c r="AF641" s="28"/>
      <c r="AG641" s="28"/>
      <c r="AH641" s="28"/>
      <c r="AI641" s="28"/>
      <c r="AJ641" s="28"/>
      <c r="AK641" s="28"/>
      <c r="AL641" s="28"/>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row>
    <row r="642" spans="1:114" s="38" customFormat="1" ht="27.75" customHeight="1">
      <c r="A642" s="242">
        <v>36</v>
      </c>
      <c r="B642" s="288" t="s">
        <v>637</v>
      </c>
      <c r="C642" s="288"/>
      <c r="D642" s="288"/>
      <c r="E642" s="288"/>
      <c r="F642" s="288"/>
      <c r="G642" s="288"/>
      <c r="H642" s="288"/>
      <c r="I642" s="288"/>
      <c r="J642" s="37"/>
      <c r="K642" s="27"/>
      <c r="L642" s="27"/>
      <c r="M642" s="27"/>
      <c r="N642" s="27"/>
      <c r="O642" s="27"/>
      <c r="P642" s="27"/>
      <c r="Q642" s="27"/>
      <c r="R642" s="27"/>
      <c r="S642" s="27"/>
      <c r="T642" s="27"/>
      <c r="U642" s="27"/>
      <c r="V642" s="28"/>
      <c r="W642" s="28"/>
      <c r="X642" s="28"/>
      <c r="Y642" s="28"/>
      <c r="Z642" s="28"/>
      <c r="AA642" s="28"/>
      <c r="AB642" s="28"/>
      <c r="AC642" s="28"/>
      <c r="AD642" s="28"/>
      <c r="AE642" s="28"/>
      <c r="AF642" s="28"/>
      <c r="AG642" s="28"/>
      <c r="AH642" s="28"/>
      <c r="AI642" s="28"/>
      <c r="AJ642" s="28"/>
      <c r="AK642" s="28"/>
      <c r="AL642" s="28"/>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row>
    <row r="643" spans="1:114" s="38" customFormat="1" ht="15">
      <c r="A643" s="242">
        <v>37</v>
      </c>
      <c r="B643" s="288" t="s">
        <v>393</v>
      </c>
      <c r="C643" s="288"/>
      <c r="D643" s="288"/>
      <c r="E643" s="288"/>
      <c r="F643" s="288"/>
      <c r="G643" s="288"/>
      <c r="H643" s="288"/>
      <c r="I643" s="288"/>
      <c r="J643" s="37"/>
      <c r="K643" s="27"/>
      <c r="L643" s="27"/>
      <c r="M643" s="27"/>
      <c r="N643" s="27"/>
      <c r="O643" s="27"/>
      <c r="P643" s="27"/>
      <c r="Q643" s="27"/>
      <c r="R643" s="27"/>
      <c r="S643" s="27"/>
      <c r="T643" s="27"/>
      <c r="U643" s="27"/>
      <c r="V643" s="28"/>
      <c r="W643" s="28"/>
      <c r="X643" s="28"/>
      <c r="Y643" s="28"/>
      <c r="Z643" s="28"/>
      <c r="AA643" s="28"/>
      <c r="AB643" s="28"/>
      <c r="AC643" s="28"/>
      <c r="AD643" s="28"/>
      <c r="AE643" s="28"/>
      <c r="AF643" s="28"/>
      <c r="AG643" s="28"/>
      <c r="AH643" s="28"/>
      <c r="AI643" s="28"/>
      <c r="AJ643" s="28"/>
      <c r="AK643" s="28"/>
      <c r="AL643" s="28"/>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row>
    <row r="644" spans="1:114" s="38" customFormat="1" ht="15">
      <c r="A644" s="242">
        <v>38</v>
      </c>
      <c r="B644" s="288" t="s">
        <v>394</v>
      </c>
      <c r="C644" s="288"/>
      <c r="D644" s="288"/>
      <c r="E644" s="288"/>
      <c r="F644" s="288"/>
      <c r="G644" s="288"/>
      <c r="H644" s="288"/>
      <c r="I644" s="288"/>
      <c r="J644" s="37"/>
      <c r="K644" s="27"/>
      <c r="L644" s="27"/>
      <c r="M644" s="27"/>
      <c r="N644" s="27"/>
      <c r="O644" s="27"/>
      <c r="P644" s="27"/>
      <c r="Q644" s="27"/>
      <c r="R644" s="27"/>
      <c r="S644" s="27"/>
      <c r="T644" s="27"/>
      <c r="U644" s="27"/>
      <c r="V644" s="28"/>
      <c r="W644" s="28"/>
      <c r="X644" s="28"/>
      <c r="Y644" s="28"/>
      <c r="Z644" s="28"/>
      <c r="AA644" s="28"/>
      <c r="AB644" s="28"/>
      <c r="AC644" s="28"/>
      <c r="AD644" s="28"/>
      <c r="AE644" s="28"/>
      <c r="AF644" s="28"/>
      <c r="AG644" s="28"/>
      <c r="AH644" s="28"/>
      <c r="AI644" s="28"/>
      <c r="AJ644" s="28"/>
      <c r="AK644" s="28"/>
      <c r="AL644" s="28"/>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row>
    <row r="645" spans="1:114" s="38" customFormat="1" ht="15">
      <c r="A645" s="242">
        <v>39</v>
      </c>
      <c r="B645" s="288" t="s">
        <v>395</v>
      </c>
      <c r="C645" s="288"/>
      <c r="D645" s="288"/>
      <c r="E645" s="288"/>
      <c r="F645" s="288"/>
      <c r="G645" s="288"/>
      <c r="H645" s="288"/>
      <c r="I645" s="288"/>
      <c r="J645" s="37"/>
      <c r="K645" s="27"/>
      <c r="L645" s="27"/>
      <c r="M645" s="27"/>
      <c r="N645" s="27"/>
      <c r="O645" s="27"/>
      <c r="P645" s="27"/>
      <c r="Q645" s="27"/>
      <c r="R645" s="27"/>
      <c r="S645" s="27"/>
      <c r="T645" s="27"/>
      <c r="U645" s="27"/>
      <c r="V645" s="28"/>
      <c r="W645" s="28"/>
      <c r="X645" s="28"/>
      <c r="Y645" s="28"/>
      <c r="Z645" s="28"/>
      <c r="AA645" s="28"/>
      <c r="AB645" s="28"/>
      <c r="AC645" s="28"/>
      <c r="AD645" s="28"/>
      <c r="AE645" s="28"/>
      <c r="AF645" s="28"/>
      <c r="AG645" s="28"/>
      <c r="AH645" s="28"/>
      <c r="AI645" s="28"/>
      <c r="AJ645" s="28"/>
      <c r="AK645" s="28"/>
      <c r="AL645" s="28"/>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row>
    <row r="646" spans="1:114" s="38" customFormat="1" ht="15">
      <c r="A646" s="242">
        <v>40</v>
      </c>
      <c r="B646" s="288" t="s">
        <v>396</v>
      </c>
      <c r="C646" s="288"/>
      <c r="D646" s="288"/>
      <c r="E646" s="288"/>
      <c r="F646" s="288"/>
      <c r="G646" s="288"/>
      <c r="H646" s="288"/>
      <c r="I646" s="288"/>
      <c r="J646" s="37"/>
      <c r="K646" s="27"/>
      <c r="L646" s="27"/>
      <c r="M646" s="27"/>
      <c r="N646" s="27"/>
      <c r="O646" s="27"/>
      <c r="P646" s="27"/>
      <c r="Q646" s="27"/>
      <c r="R646" s="27"/>
      <c r="S646" s="27"/>
      <c r="T646" s="27"/>
      <c r="U646" s="27"/>
      <c r="V646" s="28"/>
      <c r="W646" s="28"/>
      <c r="X646" s="28"/>
      <c r="Y646" s="28"/>
      <c r="Z646" s="28"/>
      <c r="AA646" s="28"/>
      <c r="AB646" s="28"/>
      <c r="AC646" s="28"/>
      <c r="AD646" s="28"/>
      <c r="AE646" s="28"/>
      <c r="AF646" s="28"/>
      <c r="AG646" s="28"/>
      <c r="AH646" s="28"/>
      <c r="AI646" s="28"/>
      <c r="AJ646" s="28"/>
      <c r="AK646" s="28"/>
      <c r="AL646" s="28"/>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row>
    <row r="647" spans="1:114" s="38" customFormat="1" ht="15">
      <c r="A647" s="242">
        <v>41</v>
      </c>
      <c r="B647" s="288" t="s">
        <v>427</v>
      </c>
      <c r="C647" s="288"/>
      <c r="D647" s="288"/>
      <c r="E647" s="288"/>
      <c r="F647" s="288"/>
      <c r="G647" s="288"/>
      <c r="H647" s="288"/>
      <c r="I647" s="288"/>
      <c r="J647" s="37"/>
      <c r="K647" s="27"/>
      <c r="L647" s="27"/>
      <c r="M647" s="27"/>
      <c r="N647" s="27"/>
      <c r="O647" s="27"/>
      <c r="P647" s="27"/>
      <c r="Q647" s="27"/>
      <c r="R647" s="27"/>
      <c r="S647" s="27"/>
      <c r="T647" s="27"/>
      <c r="U647" s="27"/>
      <c r="V647" s="28"/>
      <c r="W647" s="28"/>
      <c r="X647" s="28"/>
      <c r="Y647" s="28"/>
      <c r="Z647" s="28"/>
      <c r="AA647" s="28"/>
      <c r="AB647" s="28"/>
      <c r="AC647" s="28"/>
      <c r="AD647" s="28"/>
      <c r="AE647" s="28"/>
      <c r="AF647" s="28"/>
      <c r="AG647" s="28"/>
      <c r="AH647" s="28"/>
      <c r="AI647" s="28"/>
      <c r="AJ647" s="28"/>
      <c r="AK647" s="28"/>
      <c r="AL647" s="28"/>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row>
    <row r="648" spans="1:114" s="38" customFormat="1" ht="15">
      <c r="A648" s="242">
        <v>42</v>
      </c>
      <c r="B648" s="288" t="s">
        <v>335</v>
      </c>
      <c r="C648" s="288"/>
      <c r="D648" s="288"/>
      <c r="E648" s="288"/>
      <c r="F648" s="288"/>
      <c r="G648" s="288"/>
      <c r="H648" s="288"/>
      <c r="I648" s="288"/>
      <c r="J648" s="37"/>
      <c r="K648" s="27"/>
      <c r="L648" s="27"/>
      <c r="M648" s="27"/>
      <c r="N648" s="27"/>
      <c r="O648" s="27"/>
      <c r="P648" s="27"/>
      <c r="Q648" s="27"/>
      <c r="R648" s="27"/>
      <c r="S648" s="27"/>
      <c r="T648" s="27"/>
      <c r="U648" s="27"/>
      <c r="V648" s="28"/>
      <c r="W648" s="28"/>
      <c r="X648" s="28"/>
      <c r="Y648" s="28"/>
      <c r="Z648" s="28"/>
      <c r="AA648" s="28"/>
      <c r="AB648" s="28"/>
      <c r="AC648" s="28"/>
      <c r="AD648" s="28"/>
      <c r="AE648" s="28"/>
      <c r="AF648" s="28"/>
      <c r="AG648" s="28"/>
      <c r="AH648" s="28"/>
      <c r="AI648" s="28"/>
      <c r="AJ648" s="28"/>
      <c r="AK648" s="28"/>
      <c r="AL648" s="28"/>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row>
    <row r="649" spans="1:114" s="38" customFormat="1" ht="24.75" customHeight="1">
      <c r="A649" s="242">
        <v>43</v>
      </c>
      <c r="B649" s="288" t="s">
        <v>638</v>
      </c>
      <c r="C649" s="288"/>
      <c r="D649" s="288"/>
      <c r="E649" s="288"/>
      <c r="F649" s="288"/>
      <c r="G649" s="288"/>
      <c r="H649" s="288"/>
      <c r="I649" s="288"/>
      <c r="J649" s="37"/>
      <c r="K649" s="27"/>
      <c r="L649" s="27"/>
      <c r="M649" s="27"/>
      <c r="N649" s="27"/>
      <c r="O649" s="27"/>
      <c r="P649" s="27"/>
      <c r="Q649" s="27"/>
      <c r="R649" s="27"/>
      <c r="S649" s="27"/>
      <c r="T649" s="27"/>
      <c r="U649" s="27"/>
      <c r="V649" s="28"/>
      <c r="W649" s="28"/>
      <c r="X649" s="28"/>
      <c r="Y649" s="28"/>
      <c r="Z649" s="28"/>
      <c r="AA649" s="28"/>
      <c r="AB649" s="28"/>
      <c r="AC649" s="28"/>
      <c r="AD649" s="28"/>
      <c r="AE649" s="28"/>
      <c r="AF649" s="28"/>
      <c r="AG649" s="28"/>
      <c r="AH649" s="28"/>
      <c r="AI649" s="28"/>
      <c r="AJ649" s="28"/>
      <c r="AK649" s="28"/>
      <c r="AL649" s="28"/>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row>
    <row r="650" spans="1:114" s="38" customFormat="1" ht="15">
      <c r="A650" s="242">
        <v>44</v>
      </c>
      <c r="B650" s="288" t="s">
        <v>433</v>
      </c>
      <c r="C650" s="288"/>
      <c r="D650" s="288"/>
      <c r="E650" s="288"/>
      <c r="F650" s="288"/>
      <c r="G650" s="288"/>
      <c r="H650" s="288"/>
      <c r="I650" s="288"/>
      <c r="J650" s="37"/>
      <c r="K650" s="27"/>
      <c r="L650" s="27"/>
      <c r="M650" s="27"/>
      <c r="N650" s="27"/>
      <c r="O650" s="27"/>
      <c r="P650" s="27"/>
      <c r="Q650" s="27"/>
      <c r="R650" s="27"/>
      <c r="S650" s="27"/>
      <c r="T650" s="27"/>
      <c r="U650" s="27"/>
      <c r="V650" s="28"/>
      <c r="W650" s="28"/>
      <c r="X650" s="28"/>
      <c r="Y650" s="28"/>
      <c r="Z650" s="28"/>
      <c r="AA650" s="28"/>
      <c r="AB650" s="28"/>
      <c r="AC650" s="28"/>
      <c r="AD650" s="28"/>
      <c r="AE650" s="28"/>
      <c r="AF650" s="28"/>
      <c r="AG650" s="28"/>
      <c r="AH650" s="28"/>
      <c r="AI650" s="28"/>
      <c r="AJ650" s="28"/>
      <c r="AK650" s="28"/>
      <c r="AL650" s="28"/>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row>
    <row r="651" spans="1:114" s="38" customFormat="1" ht="24.75" customHeight="1">
      <c r="A651" s="242">
        <v>45</v>
      </c>
      <c r="B651" s="288" t="s">
        <v>639</v>
      </c>
      <c r="C651" s="288"/>
      <c r="D651" s="288"/>
      <c r="E651" s="288"/>
      <c r="F651" s="288"/>
      <c r="G651" s="288"/>
      <c r="H651" s="288"/>
      <c r="I651" s="288"/>
      <c r="J651" s="37"/>
      <c r="K651" s="27"/>
      <c r="L651" s="27"/>
      <c r="M651" s="27"/>
      <c r="N651" s="27"/>
      <c r="O651" s="27"/>
      <c r="P651" s="27"/>
      <c r="Q651" s="27"/>
      <c r="R651" s="27"/>
      <c r="S651" s="27"/>
      <c r="T651" s="27"/>
      <c r="U651" s="27"/>
      <c r="V651" s="28"/>
      <c r="W651" s="28"/>
      <c r="X651" s="28"/>
      <c r="Y651" s="28"/>
      <c r="Z651" s="28"/>
      <c r="AA651" s="28"/>
      <c r="AB651" s="28"/>
      <c r="AC651" s="28"/>
      <c r="AD651" s="28"/>
      <c r="AE651" s="28"/>
      <c r="AF651" s="28"/>
      <c r="AG651" s="28"/>
      <c r="AH651" s="28"/>
      <c r="AI651" s="28"/>
      <c r="AJ651" s="28"/>
      <c r="AK651" s="28"/>
      <c r="AL651" s="28"/>
      <c r="AM651" s="29"/>
      <c r="AN651" s="29"/>
      <c r="AO651" s="29"/>
      <c r="AP651" s="29"/>
      <c r="AQ651" s="29"/>
      <c r="AR651" s="29"/>
      <c r="AS651" s="29"/>
      <c r="AT651" s="29"/>
      <c r="AU651" s="29"/>
      <c r="AV651" s="29"/>
      <c r="AW651" s="29"/>
      <c r="AX651" s="29"/>
      <c r="AY651" s="29"/>
      <c r="AZ651" s="29"/>
      <c r="BA651" s="29"/>
      <c r="BB651" s="29"/>
      <c r="BC651" s="29"/>
      <c r="BD651" s="29"/>
      <c r="BE651" s="29"/>
      <c r="BF651" s="29"/>
      <c r="BG651" s="29"/>
      <c r="BH651" s="29"/>
      <c r="BI651" s="29"/>
      <c r="BJ651" s="29"/>
      <c r="BK651" s="29"/>
      <c r="BL651" s="29"/>
      <c r="BM651" s="29"/>
      <c r="BN651" s="29"/>
      <c r="BO651" s="29"/>
      <c r="BP651" s="29"/>
      <c r="BQ651" s="29"/>
      <c r="BR651" s="29"/>
      <c r="BS651" s="29"/>
      <c r="BT651" s="29"/>
      <c r="BU651" s="29"/>
      <c r="BV651" s="29"/>
      <c r="BW651" s="29"/>
      <c r="BX651" s="29"/>
      <c r="BY651" s="29"/>
      <c r="BZ651" s="29"/>
      <c r="CA651" s="29"/>
      <c r="CB651" s="29"/>
      <c r="CC651" s="29"/>
      <c r="CD651" s="29"/>
      <c r="CE651" s="29"/>
      <c r="CF651" s="29"/>
      <c r="CG651" s="29"/>
      <c r="CH651" s="29"/>
      <c r="CI651" s="29"/>
      <c r="CJ651" s="29"/>
      <c r="CK651" s="29"/>
      <c r="CL651" s="29"/>
      <c r="CM651" s="29"/>
      <c r="CN651" s="29"/>
      <c r="CO651" s="29"/>
      <c r="CP651" s="29"/>
      <c r="CQ651" s="29"/>
      <c r="CR651" s="29"/>
      <c r="CS651" s="29"/>
      <c r="CT651" s="29"/>
      <c r="CU651" s="29"/>
      <c r="CV651" s="29"/>
      <c r="CW651" s="29"/>
      <c r="CX651" s="29"/>
      <c r="CY651" s="29"/>
      <c r="CZ651" s="29"/>
      <c r="DA651" s="29"/>
      <c r="DB651" s="29"/>
      <c r="DC651" s="29"/>
      <c r="DD651" s="29"/>
      <c r="DE651" s="29"/>
      <c r="DF651" s="29"/>
      <c r="DG651" s="29"/>
      <c r="DH651" s="29"/>
      <c r="DI651" s="29"/>
      <c r="DJ651" s="29"/>
    </row>
    <row r="652" spans="1:114" s="38" customFormat="1" ht="15">
      <c r="A652" s="242">
        <v>46</v>
      </c>
      <c r="B652" s="288" t="s">
        <v>335</v>
      </c>
      <c r="C652" s="288"/>
      <c r="D652" s="288"/>
      <c r="E652" s="288"/>
      <c r="F652" s="288"/>
      <c r="G652" s="288"/>
      <c r="H652" s="288"/>
      <c r="I652" s="288"/>
      <c r="J652" s="37"/>
      <c r="K652" s="27"/>
      <c r="L652" s="27"/>
      <c r="M652" s="27"/>
      <c r="N652" s="27"/>
      <c r="O652" s="27"/>
      <c r="P652" s="27"/>
      <c r="Q652" s="27"/>
      <c r="R652" s="27"/>
      <c r="S652" s="27"/>
      <c r="T652" s="27"/>
      <c r="U652" s="27"/>
      <c r="V652" s="28"/>
      <c r="W652" s="28"/>
      <c r="X652" s="28"/>
      <c r="Y652" s="28"/>
      <c r="Z652" s="28"/>
      <c r="AA652" s="28"/>
      <c r="AB652" s="28"/>
      <c r="AC652" s="28"/>
      <c r="AD652" s="28"/>
      <c r="AE652" s="28"/>
      <c r="AF652" s="28"/>
      <c r="AG652" s="28"/>
      <c r="AH652" s="28"/>
      <c r="AI652" s="28"/>
      <c r="AJ652" s="28"/>
      <c r="AK652" s="28"/>
      <c r="AL652" s="28"/>
      <c r="AM652" s="29"/>
      <c r="AN652" s="29"/>
      <c r="AO652" s="29"/>
      <c r="AP652" s="29"/>
      <c r="AQ652" s="29"/>
      <c r="AR652" s="29"/>
      <c r="AS652" s="29"/>
      <c r="AT652" s="29"/>
      <c r="AU652" s="29"/>
      <c r="AV652" s="29"/>
      <c r="AW652" s="29"/>
      <c r="AX652" s="29"/>
      <c r="AY652" s="29"/>
      <c r="AZ652" s="29"/>
      <c r="BA652" s="29"/>
      <c r="BB652" s="29"/>
      <c r="BC652" s="29"/>
      <c r="BD652" s="29"/>
      <c r="BE652" s="29"/>
      <c r="BF652" s="29"/>
      <c r="BG652" s="29"/>
      <c r="BH652" s="29"/>
      <c r="BI652" s="29"/>
      <c r="BJ652" s="29"/>
      <c r="BK652" s="29"/>
      <c r="BL652" s="29"/>
      <c r="BM652" s="29"/>
      <c r="BN652" s="29"/>
      <c r="BO652" s="29"/>
      <c r="BP652" s="29"/>
      <c r="BQ652" s="29"/>
      <c r="BR652" s="29"/>
      <c r="BS652" s="29"/>
      <c r="BT652" s="29"/>
      <c r="BU652" s="29"/>
      <c r="BV652" s="29"/>
      <c r="BW652" s="29"/>
      <c r="BX652" s="29"/>
      <c r="BY652" s="29"/>
      <c r="BZ652" s="29"/>
      <c r="CA652" s="29"/>
      <c r="CB652" s="29"/>
      <c r="CC652" s="29"/>
      <c r="CD652" s="29"/>
      <c r="CE652" s="29"/>
      <c r="CF652" s="29"/>
      <c r="CG652" s="29"/>
      <c r="CH652" s="29"/>
      <c r="CI652" s="29"/>
      <c r="CJ652" s="29"/>
      <c r="CK652" s="29"/>
      <c r="CL652" s="29"/>
      <c r="CM652" s="29"/>
      <c r="CN652" s="29"/>
      <c r="CO652" s="29"/>
      <c r="CP652" s="29"/>
      <c r="CQ652" s="29"/>
      <c r="CR652" s="29"/>
      <c r="CS652" s="29"/>
      <c r="CT652" s="29"/>
      <c r="CU652" s="29"/>
      <c r="CV652" s="29"/>
      <c r="CW652" s="29"/>
      <c r="CX652" s="29"/>
      <c r="CY652" s="29"/>
      <c r="CZ652" s="29"/>
      <c r="DA652" s="29"/>
      <c r="DB652" s="29"/>
      <c r="DC652" s="29"/>
      <c r="DD652" s="29"/>
      <c r="DE652" s="29"/>
      <c r="DF652" s="29"/>
      <c r="DG652" s="29"/>
      <c r="DH652" s="29"/>
      <c r="DI652" s="29"/>
      <c r="DJ652" s="29"/>
    </row>
    <row r="653" spans="1:114" s="38" customFormat="1" ht="15">
      <c r="A653" s="242">
        <v>47</v>
      </c>
      <c r="B653" s="288" t="s">
        <v>506</v>
      </c>
      <c r="C653" s="288"/>
      <c r="D653" s="288"/>
      <c r="E653" s="288"/>
      <c r="F653" s="288"/>
      <c r="G653" s="288"/>
      <c r="H653" s="288"/>
      <c r="I653" s="288"/>
      <c r="J653" s="37"/>
      <c r="K653" s="27"/>
      <c r="L653" s="27"/>
      <c r="M653" s="27"/>
      <c r="N653" s="27"/>
      <c r="O653" s="27"/>
      <c r="P653" s="27"/>
      <c r="Q653" s="27"/>
      <c r="R653" s="27"/>
      <c r="S653" s="27"/>
      <c r="T653" s="27"/>
      <c r="U653" s="27"/>
      <c r="V653" s="28"/>
      <c r="W653" s="28"/>
      <c r="X653" s="28"/>
      <c r="Y653" s="28"/>
      <c r="Z653" s="28"/>
      <c r="AA653" s="28"/>
      <c r="AB653" s="28"/>
      <c r="AC653" s="28"/>
      <c r="AD653" s="28"/>
      <c r="AE653" s="28"/>
      <c r="AF653" s="28"/>
      <c r="AG653" s="28"/>
      <c r="AH653" s="28"/>
      <c r="AI653" s="28"/>
      <c r="AJ653" s="28"/>
      <c r="AK653" s="28"/>
      <c r="AL653" s="28"/>
      <c r="AM653" s="29"/>
      <c r="AN653" s="29"/>
      <c r="AO653" s="29"/>
      <c r="AP653" s="29"/>
      <c r="AQ653" s="29"/>
      <c r="AR653" s="29"/>
      <c r="AS653" s="29"/>
      <c r="AT653" s="29"/>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c r="BX653" s="29"/>
      <c r="BY653" s="29"/>
      <c r="BZ653" s="29"/>
      <c r="CA653" s="29"/>
      <c r="CB653" s="29"/>
      <c r="CC653" s="29"/>
      <c r="CD653" s="29"/>
      <c r="CE653" s="29"/>
      <c r="CF653" s="29"/>
      <c r="CG653" s="29"/>
      <c r="CH653" s="29"/>
      <c r="CI653" s="29"/>
      <c r="CJ653" s="29"/>
      <c r="CK653" s="29"/>
      <c r="CL653" s="29"/>
      <c r="CM653" s="29"/>
      <c r="CN653" s="29"/>
      <c r="CO653" s="29"/>
      <c r="CP653" s="29"/>
      <c r="CQ653" s="29"/>
      <c r="CR653" s="29"/>
      <c r="CS653" s="29"/>
      <c r="CT653" s="29"/>
      <c r="CU653" s="29"/>
      <c r="CV653" s="29"/>
      <c r="CW653" s="29"/>
      <c r="CX653" s="29"/>
      <c r="CY653" s="29"/>
      <c r="CZ653" s="29"/>
      <c r="DA653" s="29"/>
      <c r="DB653" s="29"/>
      <c r="DC653" s="29"/>
      <c r="DD653" s="29"/>
      <c r="DE653" s="29"/>
      <c r="DF653" s="29"/>
      <c r="DG653" s="29"/>
      <c r="DH653" s="29"/>
      <c r="DI653" s="29"/>
      <c r="DJ653" s="29"/>
    </row>
    <row r="654" spans="1:114" s="38" customFormat="1" ht="27.75" customHeight="1">
      <c r="A654" s="242">
        <v>48</v>
      </c>
      <c r="B654" s="288" t="s">
        <v>640</v>
      </c>
      <c r="C654" s="288"/>
      <c r="D654" s="288"/>
      <c r="E654" s="288"/>
      <c r="F654" s="288"/>
      <c r="G654" s="288"/>
      <c r="H654" s="288"/>
      <c r="I654" s="288"/>
      <c r="J654" s="37"/>
      <c r="K654" s="27"/>
      <c r="L654" s="27"/>
      <c r="M654" s="27"/>
      <c r="N654" s="27"/>
      <c r="O654" s="27"/>
      <c r="P654" s="27"/>
      <c r="Q654" s="27"/>
      <c r="R654" s="27"/>
      <c r="S654" s="27"/>
      <c r="T654" s="27"/>
      <c r="U654" s="27"/>
      <c r="V654" s="28"/>
      <c r="W654" s="28"/>
      <c r="X654" s="28"/>
      <c r="Y654" s="28"/>
      <c r="Z654" s="28"/>
      <c r="AA654" s="28"/>
      <c r="AB654" s="28"/>
      <c r="AC654" s="28"/>
      <c r="AD654" s="28"/>
      <c r="AE654" s="28"/>
      <c r="AF654" s="28"/>
      <c r="AG654" s="28"/>
      <c r="AH654" s="28"/>
      <c r="AI654" s="28"/>
      <c r="AJ654" s="28"/>
      <c r="AK654" s="28"/>
      <c r="AL654" s="28"/>
      <c r="AM654" s="29"/>
      <c r="AN654" s="29"/>
      <c r="AO654" s="29"/>
      <c r="AP654" s="29"/>
      <c r="AQ654" s="29"/>
      <c r="AR654" s="29"/>
      <c r="AS654" s="29"/>
      <c r="AT654" s="29"/>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c r="BX654" s="29"/>
      <c r="BY654" s="29"/>
      <c r="BZ654" s="29"/>
      <c r="CA654" s="29"/>
      <c r="CB654" s="29"/>
      <c r="CC654" s="29"/>
      <c r="CD654" s="29"/>
      <c r="CE654" s="29"/>
      <c r="CF654" s="29"/>
      <c r="CG654" s="29"/>
      <c r="CH654" s="29"/>
      <c r="CI654" s="29"/>
      <c r="CJ654" s="29"/>
      <c r="CK654" s="29"/>
      <c r="CL654" s="29"/>
      <c r="CM654" s="29"/>
      <c r="CN654" s="29"/>
      <c r="CO654" s="29"/>
      <c r="CP654" s="29"/>
      <c r="CQ654" s="29"/>
      <c r="CR654" s="29"/>
      <c r="CS654" s="29"/>
      <c r="CT654" s="29"/>
      <c r="CU654" s="29"/>
      <c r="CV654" s="29"/>
      <c r="CW654" s="29"/>
      <c r="CX654" s="29"/>
      <c r="CY654" s="29"/>
      <c r="CZ654" s="29"/>
      <c r="DA654" s="29"/>
      <c r="DB654" s="29"/>
      <c r="DC654" s="29"/>
      <c r="DD654" s="29"/>
      <c r="DE654" s="29"/>
      <c r="DF654" s="29"/>
      <c r="DG654" s="29"/>
      <c r="DH654" s="29"/>
      <c r="DI654" s="29"/>
      <c r="DJ654" s="29"/>
    </row>
    <row r="655" spans="1:114" s="38" customFormat="1" ht="15">
      <c r="A655" s="242">
        <v>49</v>
      </c>
      <c r="B655" s="288" t="s">
        <v>532</v>
      </c>
      <c r="C655" s="288"/>
      <c r="D655" s="288"/>
      <c r="E655" s="288"/>
      <c r="F655" s="288"/>
      <c r="G655" s="288"/>
      <c r="H655" s="288"/>
      <c r="I655" s="288"/>
      <c r="J655" s="37"/>
      <c r="K655" s="27"/>
      <c r="L655" s="27"/>
      <c r="M655" s="27"/>
      <c r="N655" s="27"/>
      <c r="O655" s="27"/>
      <c r="P655" s="27"/>
      <c r="Q655" s="27"/>
      <c r="R655" s="27"/>
      <c r="S655" s="27"/>
      <c r="T655" s="27"/>
      <c r="U655" s="27"/>
      <c r="V655" s="28"/>
      <c r="W655" s="28"/>
      <c r="X655" s="28"/>
      <c r="Y655" s="28"/>
      <c r="Z655" s="28"/>
      <c r="AA655" s="28"/>
      <c r="AB655" s="28"/>
      <c r="AC655" s="28"/>
      <c r="AD655" s="28"/>
      <c r="AE655" s="28"/>
      <c r="AF655" s="28"/>
      <c r="AG655" s="28"/>
      <c r="AH655" s="28"/>
      <c r="AI655" s="28"/>
      <c r="AJ655" s="28"/>
      <c r="AK655" s="28"/>
      <c r="AL655" s="28"/>
      <c r="AM655" s="29"/>
      <c r="AN655" s="29"/>
      <c r="AO655" s="29"/>
      <c r="AP655" s="29"/>
      <c r="AQ655" s="29"/>
      <c r="AR655" s="29"/>
      <c r="AS655" s="29"/>
      <c r="AT655" s="29"/>
      <c r="AU655" s="29"/>
      <c r="AV655" s="29"/>
      <c r="AW655" s="29"/>
      <c r="AX655" s="29"/>
      <c r="AY655" s="29"/>
      <c r="AZ655" s="29"/>
      <c r="BA655" s="29"/>
      <c r="BB655" s="29"/>
      <c r="BC655" s="29"/>
      <c r="BD655" s="29"/>
      <c r="BE655" s="29"/>
      <c r="BF655" s="29"/>
      <c r="BG655" s="29"/>
      <c r="BH655" s="29"/>
      <c r="BI655" s="29"/>
      <c r="BJ655" s="29"/>
      <c r="BK655" s="29"/>
      <c r="BL655" s="29"/>
      <c r="BM655" s="29"/>
      <c r="BN655" s="29"/>
      <c r="BO655" s="29"/>
      <c r="BP655" s="29"/>
      <c r="BQ655" s="29"/>
      <c r="BR655" s="29"/>
      <c r="BS655" s="29"/>
      <c r="BT655" s="29"/>
      <c r="BU655" s="29"/>
      <c r="BV655" s="29"/>
      <c r="BW655" s="29"/>
      <c r="BX655" s="29"/>
      <c r="BY655" s="29"/>
      <c r="BZ655" s="29"/>
      <c r="CA655" s="29"/>
      <c r="CB655" s="29"/>
      <c r="CC655" s="29"/>
      <c r="CD655" s="29"/>
      <c r="CE655" s="29"/>
      <c r="CF655" s="29"/>
      <c r="CG655" s="29"/>
      <c r="CH655" s="29"/>
      <c r="CI655" s="29"/>
      <c r="CJ655" s="29"/>
      <c r="CK655" s="29"/>
      <c r="CL655" s="29"/>
      <c r="CM655" s="29"/>
      <c r="CN655" s="29"/>
      <c r="CO655" s="29"/>
      <c r="CP655" s="29"/>
      <c r="CQ655" s="29"/>
      <c r="CR655" s="29"/>
      <c r="CS655" s="29"/>
      <c r="CT655" s="29"/>
      <c r="CU655" s="29"/>
      <c r="CV655" s="29"/>
      <c r="CW655" s="29"/>
      <c r="CX655" s="29"/>
      <c r="CY655" s="29"/>
      <c r="CZ655" s="29"/>
      <c r="DA655" s="29"/>
      <c r="DB655" s="29"/>
      <c r="DC655" s="29"/>
      <c r="DD655" s="29"/>
      <c r="DE655" s="29"/>
      <c r="DF655" s="29"/>
      <c r="DG655" s="29"/>
      <c r="DH655" s="29"/>
      <c r="DI655" s="29"/>
      <c r="DJ655" s="29"/>
    </row>
    <row r="656" spans="1:114" s="38" customFormat="1" ht="15">
      <c r="A656" s="242">
        <v>50</v>
      </c>
      <c r="B656" s="288" t="s">
        <v>469</v>
      </c>
      <c r="C656" s="288"/>
      <c r="D656" s="288"/>
      <c r="E656" s="288"/>
      <c r="F656" s="288"/>
      <c r="G656" s="288"/>
      <c r="H656" s="288"/>
      <c r="I656" s="288"/>
      <c r="J656" s="37"/>
      <c r="K656" s="27"/>
      <c r="L656" s="27"/>
      <c r="M656" s="27"/>
      <c r="N656" s="27"/>
      <c r="O656" s="27"/>
      <c r="P656" s="27"/>
      <c r="Q656" s="27"/>
      <c r="R656" s="27"/>
      <c r="S656" s="27"/>
      <c r="T656" s="27"/>
      <c r="U656" s="27"/>
      <c r="V656" s="28"/>
      <c r="W656" s="28"/>
      <c r="X656" s="28"/>
      <c r="Y656" s="28"/>
      <c r="Z656" s="28"/>
      <c r="AA656" s="28"/>
      <c r="AB656" s="28"/>
      <c r="AC656" s="28"/>
      <c r="AD656" s="28"/>
      <c r="AE656" s="28"/>
      <c r="AF656" s="28"/>
      <c r="AG656" s="28"/>
      <c r="AH656" s="28"/>
      <c r="AI656" s="28"/>
      <c r="AJ656" s="28"/>
      <c r="AK656" s="28"/>
      <c r="AL656" s="28"/>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row>
    <row r="657" spans="1:114" s="38" customFormat="1" ht="15">
      <c r="A657" s="242">
        <v>51</v>
      </c>
      <c r="B657" s="288" t="s">
        <v>472</v>
      </c>
      <c r="C657" s="288"/>
      <c r="D657" s="288"/>
      <c r="E657" s="288"/>
      <c r="F657" s="288"/>
      <c r="G657" s="288"/>
      <c r="H657" s="288"/>
      <c r="I657" s="288"/>
      <c r="J657" s="37"/>
      <c r="K657" s="27"/>
      <c r="L657" s="27"/>
      <c r="M657" s="27"/>
      <c r="N657" s="27"/>
      <c r="O657" s="27"/>
      <c r="P657" s="27"/>
      <c r="Q657" s="27"/>
      <c r="R657" s="27"/>
      <c r="S657" s="27"/>
      <c r="T657" s="27"/>
      <c r="U657" s="27"/>
      <c r="V657" s="28"/>
      <c r="W657" s="28"/>
      <c r="X657" s="28"/>
      <c r="Y657" s="28"/>
      <c r="Z657" s="28"/>
      <c r="AA657" s="28"/>
      <c r="AB657" s="28"/>
      <c r="AC657" s="28"/>
      <c r="AD657" s="28"/>
      <c r="AE657" s="28"/>
      <c r="AF657" s="28"/>
      <c r="AG657" s="28"/>
      <c r="AH657" s="28"/>
      <c r="AI657" s="28"/>
      <c r="AJ657" s="28"/>
      <c r="AK657" s="28"/>
      <c r="AL657" s="28"/>
      <c r="AM657" s="29"/>
      <c r="AN657" s="29"/>
      <c r="AO657" s="29"/>
      <c r="AP657" s="29"/>
      <c r="AQ657" s="29"/>
      <c r="AR657" s="29"/>
      <c r="AS657" s="29"/>
      <c r="AT657" s="29"/>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c r="BX657" s="29"/>
      <c r="BY657" s="29"/>
      <c r="BZ657" s="29"/>
      <c r="CA657" s="29"/>
      <c r="CB657" s="29"/>
      <c r="CC657" s="29"/>
      <c r="CD657" s="29"/>
      <c r="CE657" s="29"/>
      <c r="CF657" s="29"/>
      <c r="CG657" s="29"/>
      <c r="CH657" s="29"/>
      <c r="CI657" s="29"/>
      <c r="CJ657" s="29"/>
      <c r="CK657" s="29"/>
      <c r="CL657" s="29"/>
      <c r="CM657" s="29"/>
      <c r="CN657" s="29"/>
      <c r="CO657" s="29"/>
      <c r="CP657" s="29"/>
      <c r="CQ657" s="29"/>
      <c r="CR657" s="29"/>
      <c r="CS657" s="29"/>
      <c r="CT657" s="29"/>
      <c r="CU657" s="29"/>
      <c r="CV657" s="29"/>
      <c r="CW657" s="29"/>
      <c r="CX657" s="29"/>
      <c r="CY657" s="29"/>
      <c r="CZ657" s="29"/>
      <c r="DA657" s="29"/>
      <c r="DB657" s="29"/>
      <c r="DC657" s="29"/>
      <c r="DD657" s="29"/>
      <c r="DE657" s="29"/>
      <c r="DF657" s="29"/>
      <c r="DG657" s="29"/>
      <c r="DH657" s="29"/>
      <c r="DI657" s="29"/>
      <c r="DJ657" s="29"/>
    </row>
    <row r="658" spans="1:114" s="38" customFormat="1" ht="15">
      <c r="A658" s="242">
        <v>52</v>
      </c>
      <c r="B658" s="288" t="s">
        <v>388</v>
      </c>
      <c r="C658" s="288"/>
      <c r="D658" s="288"/>
      <c r="E658" s="288"/>
      <c r="F658" s="288"/>
      <c r="G658" s="288"/>
      <c r="H658" s="288"/>
      <c r="I658" s="288"/>
      <c r="J658" s="37"/>
      <c r="K658" s="27"/>
      <c r="L658" s="27"/>
      <c r="M658" s="27"/>
      <c r="N658" s="27"/>
      <c r="O658" s="27"/>
      <c r="P658" s="27"/>
      <c r="Q658" s="27"/>
      <c r="R658" s="27"/>
      <c r="S658" s="27"/>
      <c r="T658" s="27"/>
      <c r="U658" s="27"/>
      <c r="V658" s="28"/>
      <c r="W658" s="28"/>
      <c r="X658" s="28"/>
      <c r="Y658" s="28"/>
      <c r="Z658" s="28"/>
      <c r="AA658" s="28"/>
      <c r="AB658" s="28"/>
      <c r="AC658" s="28"/>
      <c r="AD658" s="28"/>
      <c r="AE658" s="28"/>
      <c r="AF658" s="28"/>
      <c r="AG658" s="28"/>
      <c r="AH658" s="28"/>
      <c r="AI658" s="28"/>
      <c r="AJ658" s="28"/>
      <c r="AK658" s="28"/>
      <c r="AL658" s="28"/>
      <c r="AM658" s="29"/>
      <c r="AN658" s="29"/>
      <c r="AO658" s="29"/>
      <c r="AP658" s="29"/>
      <c r="AQ658" s="29"/>
      <c r="AR658" s="29"/>
      <c r="AS658" s="29"/>
      <c r="AT658" s="29"/>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c r="BX658" s="29"/>
      <c r="BY658" s="29"/>
      <c r="BZ658" s="29"/>
      <c r="CA658" s="29"/>
      <c r="CB658" s="29"/>
      <c r="CC658" s="29"/>
      <c r="CD658" s="29"/>
      <c r="CE658" s="29"/>
      <c r="CF658" s="29"/>
      <c r="CG658" s="29"/>
      <c r="CH658" s="29"/>
      <c r="CI658" s="29"/>
      <c r="CJ658" s="29"/>
      <c r="CK658" s="29"/>
      <c r="CL658" s="29"/>
      <c r="CM658" s="29"/>
      <c r="CN658" s="29"/>
      <c r="CO658" s="29"/>
      <c r="CP658" s="29"/>
      <c r="CQ658" s="29"/>
      <c r="CR658" s="29"/>
      <c r="CS658" s="29"/>
      <c r="CT658" s="29"/>
      <c r="CU658" s="29"/>
      <c r="CV658" s="29"/>
      <c r="CW658" s="29"/>
      <c r="CX658" s="29"/>
      <c r="CY658" s="29"/>
      <c r="CZ658" s="29"/>
      <c r="DA658" s="29"/>
      <c r="DB658" s="29"/>
      <c r="DC658" s="29"/>
      <c r="DD658" s="29"/>
      <c r="DE658" s="29"/>
      <c r="DF658" s="29"/>
      <c r="DG658" s="29"/>
      <c r="DH658" s="29"/>
      <c r="DI658" s="29"/>
      <c r="DJ658" s="29"/>
    </row>
    <row r="659" spans="1:114" s="38" customFormat="1" ht="15">
      <c r="A659" s="242">
        <v>53</v>
      </c>
      <c r="B659" s="288" t="s">
        <v>335</v>
      </c>
      <c r="C659" s="288"/>
      <c r="D659" s="288"/>
      <c r="E659" s="288"/>
      <c r="F659" s="288"/>
      <c r="G659" s="288"/>
      <c r="H659" s="288"/>
      <c r="I659" s="288"/>
      <c r="J659" s="37"/>
      <c r="K659" s="27"/>
      <c r="L659" s="27"/>
      <c r="M659" s="27"/>
      <c r="N659" s="27"/>
      <c r="O659" s="27"/>
      <c r="P659" s="27"/>
      <c r="Q659" s="27"/>
      <c r="R659" s="27"/>
      <c r="S659" s="27"/>
      <c r="T659" s="27"/>
      <c r="U659" s="27"/>
      <c r="V659" s="28"/>
      <c r="W659" s="28"/>
      <c r="X659" s="28"/>
      <c r="Y659" s="28"/>
      <c r="Z659" s="28"/>
      <c r="AA659" s="28"/>
      <c r="AB659" s="28"/>
      <c r="AC659" s="28"/>
      <c r="AD659" s="28"/>
      <c r="AE659" s="28"/>
      <c r="AF659" s="28"/>
      <c r="AG659" s="28"/>
      <c r="AH659" s="28"/>
      <c r="AI659" s="28"/>
      <c r="AJ659" s="28"/>
      <c r="AK659" s="28"/>
      <c r="AL659" s="28"/>
      <c r="AM659" s="29"/>
      <c r="AN659" s="29"/>
      <c r="AO659" s="29"/>
      <c r="AP659" s="29"/>
      <c r="AQ659" s="29"/>
      <c r="AR659" s="29"/>
      <c r="AS659" s="29"/>
      <c r="AT659" s="29"/>
      <c r="AU659" s="29"/>
      <c r="AV659" s="29"/>
      <c r="AW659" s="29"/>
      <c r="AX659" s="29"/>
      <c r="AY659" s="29"/>
      <c r="AZ659" s="29"/>
      <c r="BA659" s="29"/>
      <c r="BB659" s="29"/>
      <c r="BC659" s="29"/>
      <c r="BD659" s="29"/>
      <c r="BE659" s="29"/>
      <c r="BF659" s="29"/>
      <c r="BG659" s="29"/>
      <c r="BH659" s="29"/>
      <c r="BI659" s="29"/>
      <c r="BJ659" s="29"/>
      <c r="BK659" s="29"/>
      <c r="BL659" s="29"/>
      <c r="BM659" s="29"/>
      <c r="BN659" s="29"/>
      <c r="BO659" s="29"/>
      <c r="BP659" s="29"/>
      <c r="BQ659" s="29"/>
      <c r="BR659" s="29"/>
      <c r="BS659" s="29"/>
      <c r="BT659" s="29"/>
      <c r="BU659" s="29"/>
      <c r="BV659" s="29"/>
      <c r="BW659" s="29"/>
      <c r="BX659" s="29"/>
      <c r="BY659" s="29"/>
      <c r="BZ659" s="29"/>
      <c r="CA659" s="29"/>
      <c r="CB659" s="29"/>
      <c r="CC659" s="29"/>
      <c r="CD659" s="29"/>
      <c r="CE659" s="29"/>
      <c r="CF659" s="29"/>
      <c r="CG659" s="29"/>
      <c r="CH659" s="29"/>
      <c r="CI659" s="29"/>
      <c r="CJ659" s="29"/>
      <c r="CK659" s="29"/>
      <c r="CL659" s="29"/>
      <c r="CM659" s="29"/>
      <c r="CN659" s="29"/>
      <c r="CO659" s="29"/>
      <c r="CP659" s="29"/>
      <c r="CQ659" s="29"/>
      <c r="CR659" s="29"/>
      <c r="CS659" s="29"/>
      <c r="CT659" s="29"/>
      <c r="CU659" s="29"/>
      <c r="CV659" s="29"/>
      <c r="CW659" s="29"/>
      <c r="CX659" s="29"/>
      <c r="CY659" s="29"/>
      <c r="CZ659" s="29"/>
      <c r="DA659" s="29"/>
      <c r="DB659" s="29"/>
      <c r="DC659" s="29"/>
      <c r="DD659" s="29"/>
      <c r="DE659" s="29"/>
      <c r="DF659" s="29"/>
      <c r="DG659" s="29"/>
      <c r="DH659" s="29"/>
      <c r="DI659" s="29"/>
      <c r="DJ659" s="29"/>
    </row>
    <row r="660" spans="1:114" s="38" customFormat="1" ht="29.25" customHeight="1">
      <c r="A660" s="242">
        <v>54</v>
      </c>
      <c r="B660" s="288" t="s">
        <v>643</v>
      </c>
      <c r="C660" s="288"/>
      <c r="D660" s="288"/>
      <c r="E660" s="288"/>
      <c r="F660" s="288"/>
      <c r="G660" s="288"/>
      <c r="H660" s="288"/>
      <c r="I660" s="288"/>
      <c r="J660" s="37"/>
      <c r="K660" s="27"/>
      <c r="L660" s="27"/>
      <c r="M660" s="27"/>
      <c r="N660" s="27"/>
      <c r="O660" s="27"/>
      <c r="P660" s="27"/>
      <c r="Q660" s="27"/>
      <c r="R660" s="27"/>
      <c r="S660" s="27"/>
      <c r="T660" s="27"/>
      <c r="U660" s="27"/>
      <c r="V660" s="28"/>
      <c r="W660" s="28"/>
      <c r="X660" s="28"/>
      <c r="Y660" s="28"/>
      <c r="Z660" s="28"/>
      <c r="AA660" s="28"/>
      <c r="AB660" s="28"/>
      <c r="AC660" s="28"/>
      <c r="AD660" s="28"/>
      <c r="AE660" s="28"/>
      <c r="AF660" s="28"/>
      <c r="AG660" s="28"/>
      <c r="AH660" s="28"/>
      <c r="AI660" s="28"/>
      <c r="AJ660" s="28"/>
      <c r="AK660" s="28"/>
      <c r="AL660" s="28"/>
      <c r="AM660" s="29"/>
      <c r="AN660" s="29"/>
      <c r="AO660" s="29"/>
      <c r="AP660" s="29"/>
      <c r="AQ660" s="29"/>
      <c r="AR660" s="29"/>
      <c r="AS660" s="29"/>
      <c r="AT660" s="29"/>
      <c r="AU660" s="29"/>
      <c r="AV660" s="29"/>
      <c r="AW660" s="29"/>
      <c r="AX660" s="29"/>
      <c r="AY660" s="29"/>
      <c r="AZ660" s="29"/>
      <c r="BA660" s="29"/>
      <c r="BB660" s="29"/>
      <c r="BC660" s="29"/>
      <c r="BD660" s="29"/>
      <c r="BE660" s="29"/>
      <c r="BF660" s="29"/>
      <c r="BG660" s="29"/>
      <c r="BH660" s="29"/>
      <c r="BI660" s="29"/>
      <c r="BJ660" s="29"/>
      <c r="BK660" s="29"/>
      <c r="BL660" s="29"/>
      <c r="BM660" s="29"/>
      <c r="BN660" s="29"/>
      <c r="BO660" s="29"/>
      <c r="BP660" s="29"/>
      <c r="BQ660" s="29"/>
      <c r="BR660" s="29"/>
      <c r="BS660" s="29"/>
      <c r="BT660" s="29"/>
      <c r="BU660" s="29"/>
      <c r="BV660" s="29"/>
      <c r="BW660" s="29"/>
      <c r="BX660" s="29"/>
      <c r="BY660" s="29"/>
      <c r="BZ660" s="29"/>
      <c r="CA660" s="29"/>
      <c r="CB660" s="29"/>
      <c r="CC660" s="29"/>
      <c r="CD660" s="29"/>
      <c r="CE660" s="29"/>
      <c r="CF660" s="29"/>
      <c r="CG660" s="29"/>
      <c r="CH660" s="29"/>
      <c r="CI660" s="29"/>
      <c r="CJ660" s="29"/>
      <c r="CK660" s="29"/>
      <c r="CL660" s="29"/>
      <c r="CM660" s="29"/>
      <c r="CN660" s="29"/>
      <c r="CO660" s="29"/>
      <c r="CP660" s="29"/>
      <c r="CQ660" s="29"/>
      <c r="CR660" s="29"/>
      <c r="CS660" s="29"/>
      <c r="CT660" s="29"/>
      <c r="CU660" s="29"/>
      <c r="CV660" s="29"/>
      <c r="CW660" s="29"/>
      <c r="CX660" s="29"/>
      <c r="CY660" s="29"/>
      <c r="CZ660" s="29"/>
      <c r="DA660" s="29"/>
      <c r="DB660" s="29"/>
      <c r="DC660" s="29"/>
      <c r="DD660" s="29"/>
      <c r="DE660" s="29"/>
      <c r="DF660" s="29"/>
      <c r="DG660" s="29"/>
      <c r="DH660" s="29"/>
      <c r="DI660" s="29"/>
      <c r="DJ660" s="29"/>
    </row>
    <row r="661" spans="1:114" s="38" customFormat="1" ht="15">
      <c r="A661" s="242">
        <v>55</v>
      </c>
      <c r="B661" s="288" t="s">
        <v>311</v>
      </c>
      <c r="C661" s="288"/>
      <c r="D661" s="288"/>
      <c r="E661" s="288"/>
      <c r="F661" s="288"/>
      <c r="G661" s="288"/>
      <c r="H661" s="288"/>
      <c r="I661" s="288"/>
      <c r="J661" s="37"/>
      <c r="K661" s="27"/>
      <c r="L661" s="27"/>
      <c r="M661" s="27"/>
      <c r="N661" s="27"/>
      <c r="O661" s="27"/>
      <c r="P661" s="27"/>
      <c r="Q661" s="27"/>
      <c r="R661" s="27"/>
      <c r="S661" s="27"/>
      <c r="T661" s="27"/>
      <c r="U661" s="27"/>
      <c r="V661" s="28"/>
      <c r="W661" s="28"/>
      <c r="X661" s="28"/>
      <c r="Y661" s="28"/>
      <c r="Z661" s="28"/>
      <c r="AA661" s="28"/>
      <c r="AB661" s="28"/>
      <c r="AC661" s="28"/>
      <c r="AD661" s="28"/>
      <c r="AE661" s="28"/>
      <c r="AF661" s="28"/>
      <c r="AG661" s="28"/>
      <c r="AH661" s="28"/>
      <c r="AI661" s="28"/>
      <c r="AJ661" s="28"/>
      <c r="AK661" s="28"/>
      <c r="AL661" s="28"/>
      <c r="AM661" s="29"/>
      <c r="AN661" s="29"/>
      <c r="AO661" s="29"/>
      <c r="AP661" s="29"/>
      <c r="AQ661" s="29"/>
      <c r="AR661" s="29"/>
      <c r="AS661" s="29"/>
      <c r="AT661" s="29"/>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c r="BX661" s="29"/>
      <c r="BY661" s="29"/>
      <c r="BZ661" s="29"/>
      <c r="CA661" s="29"/>
      <c r="CB661" s="29"/>
      <c r="CC661" s="29"/>
      <c r="CD661" s="29"/>
      <c r="CE661" s="29"/>
      <c r="CF661" s="29"/>
      <c r="CG661" s="29"/>
      <c r="CH661" s="29"/>
      <c r="CI661" s="29"/>
      <c r="CJ661" s="29"/>
      <c r="CK661" s="29"/>
      <c r="CL661" s="29"/>
      <c r="CM661" s="29"/>
      <c r="CN661" s="29"/>
      <c r="CO661" s="29"/>
      <c r="CP661" s="29"/>
      <c r="CQ661" s="29"/>
      <c r="CR661" s="29"/>
      <c r="CS661" s="29"/>
      <c r="CT661" s="29"/>
      <c r="CU661" s="29"/>
      <c r="CV661" s="29"/>
      <c r="CW661" s="29"/>
      <c r="CX661" s="29"/>
      <c r="CY661" s="29"/>
      <c r="CZ661" s="29"/>
      <c r="DA661" s="29"/>
      <c r="DB661" s="29"/>
      <c r="DC661" s="29"/>
      <c r="DD661" s="29"/>
      <c r="DE661" s="29"/>
      <c r="DF661" s="29"/>
      <c r="DG661" s="29"/>
      <c r="DH661" s="29"/>
      <c r="DI661" s="29"/>
      <c r="DJ661" s="29"/>
    </row>
    <row r="662" spans="1:114" s="38" customFormat="1" ht="15">
      <c r="A662" s="242"/>
      <c r="B662" s="288" t="s">
        <v>192</v>
      </c>
      <c r="C662" s="288"/>
      <c r="D662" s="288"/>
      <c r="E662" s="288"/>
      <c r="F662" s="288"/>
      <c r="G662" s="288"/>
      <c r="H662" s="288"/>
      <c r="I662" s="288"/>
      <c r="J662" s="37"/>
      <c r="K662" s="27"/>
      <c r="L662" s="27"/>
      <c r="M662" s="27"/>
      <c r="N662" s="27"/>
      <c r="O662" s="27"/>
      <c r="P662" s="27"/>
      <c r="Q662" s="27"/>
      <c r="R662" s="27"/>
      <c r="S662" s="27"/>
      <c r="T662" s="27"/>
      <c r="U662" s="27"/>
      <c r="V662" s="28"/>
      <c r="W662" s="28"/>
      <c r="X662" s="28"/>
      <c r="Y662" s="28"/>
      <c r="Z662" s="28"/>
      <c r="AA662" s="28"/>
      <c r="AB662" s="28"/>
      <c r="AC662" s="28"/>
      <c r="AD662" s="28"/>
      <c r="AE662" s="28"/>
      <c r="AF662" s="28"/>
      <c r="AG662" s="28"/>
      <c r="AH662" s="28"/>
      <c r="AI662" s="28"/>
      <c r="AJ662" s="28"/>
      <c r="AK662" s="28"/>
      <c r="AL662" s="28"/>
      <c r="AM662" s="29"/>
      <c r="AN662" s="29"/>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29"/>
      <c r="CN662" s="29"/>
      <c r="CO662" s="29"/>
      <c r="CP662" s="29"/>
      <c r="CQ662" s="29"/>
      <c r="CR662" s="29"/>
      <c r="CS662" s="29"/>
      <c r="CT662" s="29"/>
      <c r="CU662" s="29"/>
      <c r="CV662" s="29"/>
      <c r="CW662" s="29"/>
      <c r="CX662" s="29"/>
      <c r="CY662" s="29"/>
      <c r="CZ662" s="29"/>
      <c r="DA662" s="29"/>
      <c r="DB662" s="29"/>
      <c r="DC662" s="29"/>
      <c r="DD662" s="29"/>
      <c r="DE662" s="29"/>
      <c r="DF662" s="29"/>
      <c r="DG662" s="29"/>
      <c r="DH662" s="29"/>
      <c r="DI662" s="29"/>
      <c r="DJ662" s="29"/>
    </row>
    <row r="663" spans="1:114" s="38" customFormat="1" ht="28.5" customHeight="1">
      <c r="A663" s="242">
        <v>57</v>
      </c>
      <c r="B663" s="288" t="s">
        <v>644</v>
      </c>
      <c r="C663" s="288"/>
      <c r="D663" s="288"/>
      <c r="E663" s="288"/>
      <c r="F663" s="288"/>
      <c r="G663" s="288"/>
      <c r="H663" s="288"/>
      <c r="I663" s="288"/>
      <c r="J663" s="37"/>
      <c r="K663" s="27"/>
      <c r="L663" s="27"/>
      <c r="M663" s="27"/>
      <c r="N663" s="27"/>
      <c r="O663" s="27"/>
      <c r="P663" s="27"/>
      <c r="Q663" s="27"/>
      <c r="R663" s="27"/>
      <c r="S663" s="27"/>
      <c r="T663" s="27"/>
      <c r="U663" s="27"/>
      <c r="V663" s="28"/>
      <c r="W663" s="28"/>
      <c r="X663" s="28"/>
      <c r="Y663" s="28"/>
      <c r="Z663" s="28"/>
      <c r="AA663" s="28"/>
      <c r="AB663" s="28"/>
      <c r="AC663" s="28"/>
      <c r="AD663" s="28"/>
      <c r="AE663" s="28"/>
      <c r="AF663" s="28"/>
      <c r="AG663" s="28"/>
      <c r="AH663" s="28"/>
      <c r="AI663" s="28"/>
      <c r="AJ663" s="28"/>
      <c r="AK663" s="28"/>
      <c r="AL663" s="28"/>
      <c r="AM663" s="29"/>
      <c r="AN663" s="29"/>
      <c r="AO663" s="29"/>
      <c r="AP663" s="29"/>
      <c r="AQ663" s="29"/>
      <c r="AR663" s="29"/>
      <c r="AS663" s="29"/>
      <c r="AT663" s="29"/>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c r="BX663" s="29"/>
      <c r="BY663" s="29"/>
      <c r="BZ663" s="29"/>
      <c r="CA663" s="29"/>
      <c r="CB663" s="29"/>
      <c r="CC663" s="29"/>
      <c r="CD663" s="29"/>
      <c r="CE663" s="29"/>
      <c r="CF663" s="29"/>
      <c r="CG663" s="29"/>
      <c r="CH663" s="29"/>
      <c r="CI663" s="29"/>
      <c r="CJ663" s="29"/>
      <c r="CK663" s="29"/>
      <c r="CL663" s="29"/>
      <c r="CM663" s="29"/>
      <c r="CN663" s="29"/>
      <c r="CO663" s="29"/>
      <c r="CP663" s="29"/>
      <c r="CQ663" s="29"/>
      <c r="CR663" s="29"/>
      <c r="CS663" s="29"/>
      <c r="CT663" s="29"/>
      <c r="CU663" s="29"/>
      <c r="CV663" s="29"/>
      <c r="CW663" s="29"/>
      <c r="CX663" s="29"/>
      <c r="CY663" s="29"/>
      <c r="CZ663" s="29"/>
      <c r="DA663" s="29"/>
      <c r="DB663" s="29"/>
      <c r="DC663" s="29"/>
      <c r="DD663" s="29"/>
      <c r="DE663" s="29"/>
      <c r="DF663" s="29"/>
      <c r="DG663" s="29"/>
      <c r="DH663" s="29"/>
      <c r="DI663" s="29"/>
      <c r="DJ663" s="29"/>
    </row>
    <row r="664" spans="1:114" s="38" customFormat="1" ht="27" customHeight="1">
      <c r="A664" s="242">
        <v>58</v>
      </c>
      <c r="B664" s="288" t="s">
        <v>645</v>
      </c>
      <c r="C664" s="288"/>
      <c r="D664" s="288"/>
      <c r="E664" s="288"/>
      <c r="F664" s="288"/>
      <c r="G664" s="288"/>
      <c r="H664" s="288"/>
      <c r="I664" s="288"/>
      <c r="J664" s="37"/>
      <c r="K664" s="27"/>
      <c r="L664" s="27"/>
      <c r="M664" s="27"/>
      <c r="N664" s="27"/>
      <c r="O664" s="27"/>
      <c r="P664" s="27"/>
      <c r="Q664" s="27"/>
      <c r="R664" s="27"/>
      <c r="S664" s="27"/>
      <c r="T664" s="27"/>
      <c r="U664" s="27"/>
      <c r="V664" s="28"/>
      <c r="W664" s="28"/>
      <c r="X664" s="28"/>
      <c r="Y664" s="28"/>
      <c r="Z664" s="28"/>
      <c r="AA664" s="28"/>
      <c r="AB664" s="28"/>
      <c r="AC664" s="28"/>
      <c r="AD664" s="28"/>
      <c r="AE664" s="28"/>
      <c r="AF664" s="28"/>
      <c r="AG664" s="28"/>
      <c r="AH664" s="28"/>
      <c r="AI664" s="28"/>
      <c r="AJ664" s="28"/>
      <c r="AK664" s="28"/>
      <c r="AL664" s="28"/>
      <c r="AM664" s="29"/>
      <c r="AN664" s="29"/>
      <c r="AO664" s="29"/>
      <c r="AP664" s="29"/>
      <c r="AQ664" s="29"/>
      <c r="AR664" s="29"/>
      <c r="AS664" s="29"/>
      <c r="AT664" s="29"/>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c r="BX664" s="29"/>
      <c r="BY664" s="29"/>
      <c r="BZ664" s="29"/>
      <c r="CA664" s="29"/>
      <c r="CB664" s="29"/>
      <c r="CC664" s="29"/>
      <c r="CD664" s="29"/>
      <c r="CE664" s="29"/>
      <c r="CF664" s="29"/>
      <c r="CG664" s="29"/>
      <c r="CH664" s="29"/>
      <c r="CI664" s="29"/>
      <c r="CJ664" s="29"/>
      <c r="CK664" s="29"/>
      <c r="CL664" s="29"/>
      <c r="CM664" s="29"/>
      <c r="CN664" s="29"/>
      <c r="CO664" s="29"/>
      <c r="CP664" s="29"/>
      <c r="CQ664" s="29"/>
      <c r="CR664" s="29"/>
      <c r="CS664" s="29"/>
      <c r="CT664" s="29"/>
      <c r="CU664" s="29"/>
      <c r="CV664" s="29"/>
      <c r="CW664" s="29"/>
      <c r="CX664" s="29"/>
      <c r="CY664" s="29"/>
      <c r="CZ664" s="29"/>
      <c r="DA664" s="29"/>
      <c r="DB664" s="29"/>
      <c r="DC664" s="29"/>
      <c r="DD664" s="29"/>
      <c r="DE664" s="29"/>
      <c r="DF664" s="29"/>
      <c r="DG664" s="29"/>
      <c r="DH664" s="29"/>
      <c r="DI664" s="29"/>
      <c r="DJ664" s="29"/>
    </row>
    <row r="665" spans="1:114" s="38" customFormat="1" ht="29.25" customHeight="1">
      <c r="A665" s="242">
        <v>59</v>
      </c>
      <c r="B665" s="288" t="s">
        <v>646</v>
      </c>
      <c r="C665" s="288"/>
      <c r="D665" s="288"/>
      <c r="E665" s="288"/>
      <c r="F665" s="288"/>
      <c r="G665" s="288"/>
      <c r="H665" s="288"/>
      <c r="I665" s="288"/>
      <c r="J665" s="37"/>
      <c r="K665" s="27"/>
      <c r="L665" s="27"/>
      <c r="M665" s="27"/>
      <c r="N665" s="27"/>
      <c r="O665" s="27"/>
      <c r="P665" s="27"/>
      <c r="Q665" s="27"/>
      <c r="R665" s="27"/>
      <c r="S665" s="27"/>
      <c r="T665" s="27"/>
      <c r="U665" s="27"/>
      <c r="V665" s="28"/>
      <c r="W665" s="28"/>
      <c r="X665" s="28"/>
      <c r="Y665" s="28"/>
      <c r="Z665" s="28"/>
      <c r="AA665" s="28"/>
      <c r="AB665" s="28"/>
      <c r="AC665" s="28"/>
      <c r="AD665" s="28"/>
      <c r="AE665" s="28"/>
      <c r="AF665" s="28"/>
      <c r="AG665" s="28"/>
      <c r="AH665" s="28"/>
      <c r="AI665" s="28"/>
      <c r="AJ665" s="28"/>
      <c r="AK665" s="28"/>
      <c r="AL665" s="28"/>
      <c r="AM665" s="29"/>
      <c r="AN665" s="29"/>
      <c r="AO665" s="29"/>
      <c r="AP665" s="29"/>
      <c r="AQ665" s="29"/>
      <c r="AR665" s="29"/>
      <c r="AS665" s="29"/>
      <c r="AT665" s="29"/>
      <c r="AU665" s="29"/>
      <c r="AV665" s="29"/>
      <c r="AW665" s="29"/>
      <c r="AX665" s="29"/>
      <c r="AY665" s="29"/>
      <c r="AZ665" s="29"/>
      <c r="BA665" s="29"/>
      <c r="BB665" s="29"/>
      <c r="BC665" s="29"/>
      <c r="BD665" s="29"/>
      <c r="BE665" s="29"/>
      <c r="BF665" s="29"/>
      <c r="BG665" s="29"/>
      <c r="BH665" s="29"/>
      <c r="BI665" s="29"/>
      <c r="BJ665" s="29"/>
      <c r="BK665" s="29"/>
      <c r="BL665" s="29"/>
      <c r="BM665" s="29"/>
      <c r="BN665" s="29"/>
      <c r="BO665" s="29"/>
      <c r="BP665" s="29"/>
      <c r="BQ665" s="29"/>
      <c r="BR665" s="29"/>
      <c r="BS665" s="29"/>
      <c r="BT665" s="29"/>
      <c r="BU665" s="29"/>
      <c r="BV665" s="29"/>
      <c r="BW665" s="29"/>
      <c r="BX665" s="29"/>
      <c r="BY665" s="29"/>
      <c r="BZ665" s="29"/>
      <c r="CA665" s="29"/>
      <c r="CB665" s="29"/>
      <c r="CC665" s="29"/>
      <c r="CD665" s="29"/>
      <c r="CE665" s="29"/>
      <c r="CF665" s="29"/>
      <c r="CG665" s="29"/>
      <c r="CH665" s="29"/>
      <c r="CI665" s="29"/>
      <c r="CJ665" s="29"/>
      <c r="CK665" s="29"/>
      <c r="CL665" s="29"/>
      <c r="CM665" s="29"/>
      <c r="CN665" s="29"/>
      <c r="CO665" s="29"/>
      <c r="CP665" s="29"/>
      <c r="CQ665" s="29"/>
      <c r="CR665" s="29"/>
      <c r="CS665" s="29"/>
      <c r="CT665" s="29"/>
      <c r="CU665" s="29"/>
      <c r="CV665" s="29"/>
      <c r="CW665" s="29"/>
      <c r="CX665" s="29"/>
      <c r="CY665" s="29"/>
      <c r="CZ665" s="29"/>
      <c r="DA665" s="29"/>
      <c r="DB665" s="29"/>
      <c r="DC665" s="29"/>
      <c r="DD665" s="29"/>
      <c r="DE665" s="29"/>
      <c r="DF665" s="29"/>
      <c r="DG665" s="29"/>
      <c r="DH665" s="29"/>
      <c r="DI665" s="29"/>
      <c r="DJ665" s="29"/>
    </row>
    <row r="666" spans="1:114" s="38" customFormat="1" ht="15">
      <c r="A666" s="242"/>
      <c r="B666" s="288" t="s">
        <v>312</v>
      </c>
      <c r="C666" s="288"/>
      <c r="D666" s="288"/>
      <c r="E666" s="288"/>
      <c r="F666" s="288"/>
      <c r="G666" s="288"/>
      <c r="H666" s="288"/>
      <c r="I666" s="288"/>
      <c r="J666" s="37"/>
      <c r="K666" s="27"/>
      <c r="L666" s="27"/>
      <c r="M666" s="27"/>
      <c r="N666" s="27"/>
      <c r="O666" s="27"/>
      <c r="P666" s="27"/>
      <c r="Q666" s="27"/>
      <c r="R666" s="27"/>
      <c r="S666" s="27"/>
      <c r="T666" s="27"/>
      <c r="U666" s="27"/>
      <c r="V666" s="28"/>
      <c r="W666" s="28"/>
      <c r="X666" s="28"/>
      <c r="Y666" s="28"/>
      <c r="Z666" s="28"/>
      <c r="AA666" s="28"/>
      <c r="AB666" s="28"/>
      <c r="AC666" s="28"/>
      <c r="AD666" s="28"/>
      <c r="AE666" s="28"/>
      <c r="AF666" s="28"/>
      <c r="AG666" s="28"/>
      <c r="AH666" s="28"/>
      <c r="AI666" s="28"/>
      <c r="AJ666" s="28"/>
      <c r="AK666" s="28"/>
      <c r="AL666" s="28"/>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row>
    <row r="667" spans="1:114" s="38" customFormat="1" ht="27" customHeight="1">
      <c r="A667" s="242"/>
      <c r="B667" s="288" t="s">
        <v>647</v>
      </c>
      <c r="C667" s="288"/>
      <c r="D667" s="288"/>
      <c r="E667" s="288"/>
      <c r="F667" s="288"/>
      <c r="G667" s="288"/>
      <c r="H667" s="288"/>
      <c r="I667" s="288"/>
      <c r="J667" s="37"/>
      <c r="K667" s="27"/>
      <c r="L667" s="27"/>
      <c r="M667" s="27"/>
      <c r="N667" s="27"/>
      <c r="O667" s="27"/>
      <c r="P667" s="27"/>
      <c r="Q667" s="27"/>
      <c r="R667" s="27"/>
      <c r="S667" s="27"/>
      <c r="T667" s="27"/>
      <c r="U667" s="27"/>
      <c r="V667" s="28"/>
      <c r="W667" s="28"/>
      <c r="X667" s="28"/>
      <c r="Y667" s="28"/>
      <c r="Z667" s="28"/>
      <c r="AA667" s="28"/>
      <c r="AB667" s="28"/>
      <c r="AC667" s="28"/>
      <c r="AD667" s="28"/>
      <c r="AE667" s="28"/>
      <c r="AF667" s="28"/>
      <c r="AG667" s="28"/>
      <c r="AH667" s="28"/>
      <c r="AI667" s="28"/>
      <c r="AJ667" s="28"/>
      <c r="AK667" s="28"/>
      <c r="AL667" s="28"/>
      <c r="AM667" s="29"/>
      <c r="AN667" s="29"/>
      <c r="AO667" s="29"/>
      <c r="AP667" s="29"/>
      <c r="AQ667" s="29"/>
      <c r="AR667" s="29"/>
      <c r="AS667" s="29"/>
      <c r="AT667" s="29"/>
      <c r="AU667" s="29"/>
      <c r="AV667" s="29"/>
      <c r="AW667" s="29"/>
      <c r="AX667" s="29"/>
      <c r="AY667" s="29"/>
      <c r="AZ667" s="29"/>
      <c r="BA667" s="29"/>
      <c r="BB667" s="29"/>
      <c r="BC667" s="29"/>
      <c r="BD667" s="29"/>
      <c r="BE667" s="29"/>
      <c r="BF667" s="29"/>
      <c r="BG667" s="29"/>
      <c r="BH667" s="29"/>
      <c r="BI667" s="29"/>
      <c r="BJ667" s="29"/>
      <c r="BK667" s="29"/>
      <c r="BL667" s="29"/>
      <c r="BM667" s="29"/>
      <c r="BN667" s="29"/>
      <c r="BO667" s="29"/>
      <c r="BP667" s="29"/>
      <c r="BQ667" s="29"/>
      <c r="BR667" s="29"/>
      <c r="BS667" s="29"/>
      <c r="BT667" s="29"/>
      <c r="BU667" s="29"/>
      <c r="BV667" s="29"/>
      <c r="BW667" s="29"/>
      <c r="BX667" s="29"/>
      <c r="BY667" s="29"/>
      <c r="BZ667" s="29"/>
      <c r="CA667" s="29"/>
      <c r="CB667" s="29"/>
      <c r="CC667" s="29"/>
      <c r="CD667" s="29"/>
      <c r="CE667" s="29"/>
      <c r="CF667" s="29"/>
      <c r="CG667" s="29"/>
      <c r="CH667" s="29"/>
      <c r="CI667" s="29"/>
      <c r="CJ667" s="29"/>
      <c r="CK667" s="29"/>
      <c r="CL667" s="29"/>
      <c r="CM667" s="29"/>
      <c r="CN667" s="29"/>
      <c r="CO667" s="29"/>
      <c r="CP667" s="29"/>
      <c r="CQ667" s="29"/>
      <c r="CR667" s="29"/>
      <c r="CS667" s="29"/>
      <c r="CT667" s="29"/>
      <c r="CU667" s="29"/>
      <c r="CV667" s="29"/>
      <c r="CW667" s="29"/>
      <c r="CX667" s="29"/>
      <c r="CY667" s="29"/>
      <c r="CZ667" s="29"/>
      <c r="DA667" s="29"/>
      <c r="DB667" s="29"/>
      <c r="DC667" s="29"/>
      <c r="DD667" s="29"/>
      <c r="DE667" s="29"/>
      <c r="DF667" s="29"/>
      <c r="DG667" s="29"/>
      <c r="DH667" s="29"/>
      <c r="DI667" s="29"/>
      <c r="DJ667" s="29"/>
    </row>
    <row r="668" spans="1:114" s="38" customFormat="1" ht="15">
      <c r="A668" s="242"/>
      <c r="B668" s="288" t="s">
        <v>313</v>
      </c>
      <c r="C668" s="288"/>
      <c r="D668" s="288"/>
      <c r="E668" s="288"/>
      <c r="F668" s="288"/>
      <c r="G668" s="288"/>
      <c r="H668" s="288"/>
      <c r="I668" s="288"/>
      <c r="J668" s="37"/>
      <c r="K668" s="27"/>
      <c r="L668" s="27"/>
      <c r="M668" s="27"/>
      <c r="N668" s="27"/>
      <c r="O668" s="27"/>
      <c r="P668" s="27"/>
      <c r="Q668" s="27"/>
      <c r="R668" s="27"/>
      <c r="S668" s="27"/>
      <c r="T668" s="27"/>
      <c r="U668" s="27"/>
      <c r="V668" s="28"/>
      <c r="W668" s="28"/>
      <c r="X668" s="28"/>
      <c r="Y668" s="28"/>
      <c r="Z668" s="28"/>
      <c r="AA668" s="28"/>
      <c r="AB668" s="28"/>
      <c r="AC668" s="28"/>
      <c r="AD668" s="28"/>
      <c r="AE668" s="28"/>
      <c r="AF668" s="28"/>
      <c r="AG668" s="28"/>
      <c r="AH668" s="28"/>
      <c r="AI668" s="28"/>
      <c r="AJ668" s="28"/>
      <c r="AK668" s="28"/>
      <c r="AL668" s="28"/>
      <c r="AM668" s="29"/>
      <c r="AN668" s="29"/>
      <c r="AO668" s="29"/>
      <c r="AP668" s="29"/>
      <c r="AQ668" s="29"/>
      <c r="AR668" s="29"/>
      <c r="AS668" s="29"/>
      <c r="AT668" s="29"/>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c r="BX668" s="29"/>
      <c r="BY668" s="29"/>
      <c r="BZ668" s="29"/>
      <c r="CA668" s="29"/>
      <c r="CB668" s="29"/>
      <c r="CC668" s="29"/>
      <c r="CD668" s="29"/>
      <c r="CE668" s="29"/>
      <c r="CF668" s="29"/>
      <c r="CG668" s="29"/>
      <c r="CH668" s="29"/>
      <c r="CI668" s="29"/>
      <c r="CJ668" s="29"/>
      <c r="CK668" s="29"/>
      <c r="CL668" s="29"/>
      <c r="CM668" s="29"/>
      <c r="CN668" s="29"/>
      <c r="CO668" s="29"/>
      <c r="CP668" s="29"/>
      <c r="CQ668" s="29"/>
      <c r="CR668" s="29"/>
      <c r="CS668" s="29"/>
      <c r="CT668" s="29"/>
      <c r="CU668" s="29"/>
      <c r="CV668" s="29"/>
      <c r="CW668" s="29"/>
      <c r="CX668" s="29"/>
      <c r="CY668" s="29"/>
      <c r="CZ668" s="29"/>
      <c r="DA668" s="29"/>
      <c r="DB668" s="29"/>
      <c r="DC668" s="29"/>
      <c r="DD668" s="29"/>
      <c r="DE668" s="29"/>
      <c r="DF668" s="29"/>
      <c r="DG668" s="29"/>
      <c r="DH668" s="29"/>
      <c r="DI668" s="29"/>
      <c r="DJ668" s="29"/>
    </row>
    <row r="669" spans="1:114" s="38" customFormat="1" ht="15">
      <c r="A669" s="242"/>
      <c r="B669" s="288" t="s">
        <v>334</v>
      </c>
      <c r="C669" s="288"/>
      <c r="D669" s="288"/>
      <c r="E669" s="288"/>
      <c r="F669" s="288"/>
      <c r="G669" s="288"/>
      <c r="H669" s="288"/>
      <c r="I669" s="288"/>
      <c r="J669" s="37"/>
      <c r="K669" s="27"/>
      <c r="L669" s="27"/>
      <c r="M669" s="27"/>
      <c r="N669" s="27"/>
      <c r="O669" s="27"/>
      <c r="P669" s="27"/>
      <c r="Q669" s="27"/>
      <c r="R669" s="27"/>
      <c r="S669" s="27"/>
      <c r="T669" s="27"/>
      <c r="U669" s="27"/>
      <c r="V669" s="28"/>
      <c r="W669" s="28"/>
      <c r="X669" s="28"/>
      <c r="Y669" s="28"/>
      <c r="Z669" s="28"/>
      <c r="AA669" s="28"/>
      <c r="AB669" s="28"/>
      <c r="AC669" s="28"/>
      <c r="AD669" s="28"/>
      <c r="AE669" s="28"/>
      <c r="AF669" s="28"/>
      <c r="AG669" s="28"/>
      <c r="AH669" s="28"/>
      <c r="AI669" s="28"/>
      <c r="AJ669" s="28"/>
      <c r="AK669" s="28"/>
      <c r="AL669" s="28"/>
      <c r="AM669" s="29"/>
      <c r="AN669" s="29"/>
      <c r="AO669" s="29"/>
      <c r="AP669" s="29"/>
      <c r="AQ669" s="29"/>
      <c r="AR669" s="29"/>
      <c r="AS669" s="29"/>
      <c r="AT669" s="29"/>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c r="BX669" s="29"/>
      <c r="BY669" s="29"/>
      <c r="BZ669" s="29"/>
      <c r="CA669" s="29"/>
      <c r="CB669" s="29"/>
      <c r="CC669" s="29"/>
      <c r="CD669" s="29"/>
      <c r="CE669" s="29"/>
      <c r="CF669" s="29"/>
      <c r="CG669" s="29"/>
      <c r="CH669" s="29"/>
      <c r="CI669" s="29"/>
      <c r="CJ669" s="29"/>
      <c r="CK669" s="29"/>
      <c r="CL669" s="29"/>
      <c r="CM669" s="29"/>
      <c r="CN669" s="29"/>
      <c r="CO669" s="29"/>
      <c r="CP669" s="29"/>
      <c r="CQ669" s="29"/>
      <c r="CR669" s="29"/>
      <c r="CS669" s="29"/>
      <c r="CT669" s="29"/>
      <c r="CU669" s="29"/>
      <c r="CV669" s="29"/>
      <c r="CW669" s="29"/>
      <c r="CX669" s="29"/>
      <c r="CY669" s="29"/>
      <c r="CZ669" s="29"/>
      <c r="DA669" s="29"/>
      <c r="DB669" s="29"/>
      <c r="DC669" s="29"/>
      <c r="DD669" s="29"/>
      <c r="DE669" s="29"/>
      <c r="DF669" s="29"/>
      <c r="DG669" s="29"/>
      <c r="DH669" s="29"/>
      <c r="DI669" s="29"/>
      <c r="DJ669" s="29"/>
    </row>
    <row r="670" spans="1:114" s="38" customFormat="1" ht="28.5" customHeight="1">
      <c r="A670" s="242"/>
      <c r="B670" s="288" t="s">
        <v>316</v>
      </c>
      <c r="C670" s="288"/>
      <c r="D670" s="288"/>
      <c r="E670" s="288"/>
      <c r="F670" s="288"/>
      <c r="G670" s="288"/>
      <c r="H670" s="288"/>
      <c r="I670" s="288"/>
      <c r="J670" s="37"/>
      <c r="K670" s="27"/>
      <c r="L670" s="27"/>
      <c r="M670" s="27"/>
      <c r="N670" s="27"/>
      <c r="O670" s="27"/>
      <c r="P670" s="27"/>
      <c r="Q670" s="27"/>
      <c r="R670" s="27"/>
      <c r="S670" s="27"/>
      <c r="T670" s="27"/>
      <c r="U670" s="27"/>
      <c r="V670" s="28"/>
      <c r="W670" s="28"/>
      <c r="X670" s="28"/>
      <c r="Y670" s="28"/>
      <c r="Z670" s="28"/>
      <c r="AA670" s="28"/>
      <c r="AB670" s="28"/>
      <c r="AC670" s="28"/>
      <c r="AD670" s="28"/>
      <c r="AE670" s="28"/>
      <c r="AF670" s="28"/>
      <c r="AG670" s="28"/>
      <c r="AH670" s="28"/>
      <c r="AI670" s="28"/>
      <c r="AJ670" s="28"/>
      <c r="AK670" s="28"/>
      <c r="AL670" s="28"/>
      <c r="AM670" s="29"/>
      <c r="AN670" s="29"/>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29"/>
      <c r="BZ670" s="29"/>
      <c r="CA670" s="29"/>
      <c r="CB670" s="29"/>
      <c r="CC670" s="29"/>
      <c r="CD670" s="29"/>
      <c r="CE670" s="29"/>
      <c r="CF670" s="29"/>
      <c r="CG670" s="29"/>
      <c r="CH670" s="29"/>
      <c r="CI670" s="29"/>
      <c r="CJ670" s="29"/>
      <c r="CK670" s="29"/>
      <c r="CL670" s="29"/>
      <c r="CM670" s="29"/>
      <c r="CN670" s="29"/>
      <c r="CO670" s="29"/>
      <c r="CP670" s="29"/>
      <c r="CQ670" s="29"/>
      <c r="CR670" s="29"/>
      <c r="CS670" s="29"/>
      <c r="CT670" s="29"/>
      <c r="CU670" s="29"/>
      <c r="CV670" s="29"/>
      <c r="CW670" s="29"/>
      <c r="CX670" s="29"/>
      <c r="CY670" s="29"/>
      <c r="CZ670" s="29"/>
      <c r="DA670" s="29"/>
      <c r="DB670" s="29"/>
      <c r="DC670" s="29"/>
      <c r="DD670" s="29"/>
      <c r="DE670" s="29"/>
      <c r="DF670" s="29"/>
      <c r="DG670" s="29"/>
      <c r="DH670" s="29"/>
      <c r="DI670" s="29"/>
      <c r="DJ670" s="29"/>
    </row>
    <row r="671" spans="1:114" s="38" customFormat="1" ht="29.25" customHeight="1">
      <c r="A671" s="242">
        <v>60</v>
      </c>
      <c r="B671" s="288" t="s">
        <v>648</v>
      </c>
      <c r="C671" s="288"/>
      <c r="D671" s="288"/>
      <c r="E671" s="288"/>
      <c r="F671" s="288"/>
      <c r="G671" s="288"/>
      <c r="H671" s="288"/>
      <c r="I671" s="288"/>
      <c r="J671" s="37"/>
      <c r="K671" s="27"/>
      <c r="L671" s="27"/>
      <c r="M671" s="27"/>
      <c r="N671" s="27"/>
      <c r="O671" s="27"/>
      <c r="P671" s="27"/>
      <c r="Q671" s="27"/>
      <c r="R671" s="27"/>
      <c r="S671" s="27"/>
      <c r="T671" s="27"/>
      <c r="U671" s="27"/>
      <c r="V671" s="28"/>
      <c r="W671" s="28"/>
      <c r="X671" s="28"/>
      <c r="Y671" s="28"/>
      <c r="Z671" s="28"/>
      <c r="AA671" s="28"/>
      <c r="AB671" s="28"/>
      <c r="AC671" s="28"/>
      <c r="AD671" s="28"/>
      <c r="AE671" s="28"/>
      <c r="AF671" s="28"/>
      <c r="AG671" s="28"/>
      <c r="AH671" s="28"/>
      <c r="AI671" s="28"/>
      <c r="AJ671" s="28"/>
      <c r="AK671" s="28"/>
      <c r="AL671" s="28"/>
      <c r="AM671" s="29"/>
      <c r="AN671" s="29"/>
      <c r="AO671" s="29"/>
      <c r="AP671" s="29"/>
      <c r="AQ671" s="29"/>
      <c r="AR671" s="29"/>
      <c r="AS671" s="29"/>
      <c r="AT671" s="29"/>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c r="BX671" s="29"/>
      <c r="BY671" s="29"/>
      <c r="BZ671" s="29"/>
      <c r="CA671" s="29"/>
      <c r="CB671" s="29"/>
      <c r="CC671" s="29"/>
      <c r="CD671" s="29"/>
      <c r="CE671" s="29"/>
      <c r="CF671" s="29"/>
      <c r="CG671" s="29"/>
      <c r="CH671" s="29"/>
      <c r="CI671" s="29"/>
      <c r="CJ671" s="29"/>
      <c r="CK671" s="29"/>
      <c r="CL671" s="29"/>
      <c r="CM671" s="29"/>
      <c r="CN671" s="29"/>
      <c r="CO671" s="29"/>
      <c r="CP671" s="29"/>
      <c r="CQ671" s="29"/>
      <c r="CR671" s="29"/>
      <c r="CS671" s="29"/>
      <c r="CT671" s="29"/>
      <c r="CU671" s="29"/>
      <c r="CV671" s="29"/>
      <c r="CW671" s="29"/>
      <c r="CX671" s="29"/>
      <c r="CY671" s="29"/>
      <c r="CZ671" s="29"/>
      <c r="DA671" s="29"/>
      <c r="DB671" s="29"/>
      <c r="DC671" s="29"/>
      <c r="DD671" s="29"/>
      <c r="DE671" s="29"/>
      <c r="DF671" s="29"/>
      <c r="DG671" s="29"/>
      <c r="DH671" s="29"/>
      <c r="DI671" s="29"/>
      <c r="DJ671" s="29"/>
    </row>
    <row r="672" spans="1:114" s="38" customFormat="1" ht="27" customHeight="1">
      <c r="A672" s="242"/>
      <c r="B672" s="288" t="s">
        <v>649</v>
      </c>
      <c r="C672" s="288"/>
      <c r="D672" s="288"/>
      <c r="E672" s="288"/>
      <c r="F672" s="288"/>
      <c r="G672" s="288"/>
      <c r="H672" s="288"/>
      <c r="I672" s="288"/>
      <c r="J672" s="37"/>
      <c r="K672" s="27"/>
      <c r="L672" s="27"/>
      <c r="M672" s="27"/>
      <c r="N672" s="27"/>
      <c r="O672" s="27"/>
      <c r="P672" s="27"/>
      <c r="Q672" s="27"/>
      <c r="R672" s="27"/>
      <c r="S672" s="27"/>
      <c r="T672" s="27"/>
      <c r="U672" s="27"/>
      <c r="V672" s="28"/>
      <c r="W672" s="28"/>
      <c r="X672" s="28"/>
      <c r="Y672" s="28"/>
      <c r="Z672" s="28"/>
      <c r="AA672" s="28"/>
      <c r="AB672" s="28"/>
      <c r="AC672" s="28"/>
      <c r="AD672" s="28"/>
      <c r="AE672" s="28"/>
      <c r="AF672" s="28"/>
      <c r="AG672" s="28"/>
      <c r="AH672" s="28"/>
      <c r="AI672" s="28"/>
      <c r="AJ672" s="28"/>
      <c r="AK672" s="28"/>
      <c r="AL672" s="28"/>
      <c r="AM672" s="29"/>
      <c r="AN672" s="29"/>
      <c r="AO672" s="29"/>
      <c r="AP672" s="29"/>
      <c r="AQ672" s="29"/>
      <c r="AR672" s="29"/>
      <c r="AS672" s="29"/>
      <c r="AT672" s="29"/>
      <c r="AU672" s="29"/>
      <c r="AV672" s="29"/>
      <c r="AW672" s="29"/>
      <c r="AX672" s="29"/>
      <c r="AY672" s="29"/>
      <c r="AZ672" s="29"/>
      <c r="BA672" s="29"/>
      <c r="BB672" s="29"/>
      <c r="BC672" s="29"/>
      <c r="BD672" s="29"/>
      <c r="BE672" s="29"/>
      <c r="BF672" s="29"/>
      <c r="BG672" s="29"/>
      <c r="BH672" s="29"/>
      <c r="BI672" s="29"/>
      <c r="BJ672" s="29"/>
      <c r="BK672" s="29"/>
      <c r="BL672" s="29"/>
      <c r="BM672" s="29"/>
      <c r="BN672" s="29"/>
      <c r="BO672" s="29"/>
      <c r="BP672" s="29"/>
      <c r="BQ672" s="29"/>
      <c r="BR672" s="29"/>
      <c r="BS672" s="29"/>
      <c r="BT672" s="29"/>
      <c r="BU672" s="29"/>
      <c r="BV672" s="29"/>
      <c r="BW672" s="29"/>
      <c r="BX672" s="29"/>
      <c r="BY672" s="29"/>
      <c r="BZ672" s="29"/>
      <c r="CA672" s="29"/>
      <c r="CB672" s="29"/>
      <c r="CC672" s="29"/>
      <c r="CD672" s="29"/>
      <c r="CE672" s="29"/>
      <c r="CF672" s="29"/>
      <c r="CG672" s="29"/>
      <c r="CH672" s="29"/>
      <c r="CI672" s="29"/>
      <c r="CJ672" s="29"/>
      <c r="CK672" s="29"/>
      <c r="CL672" s="29"/>
      <c r="CM672" s="29"/>
      <c r="CN672" s="29"/>
      <c r="CO672" s="29"/>
      <c r="CP672" s="29"/>
      <c r="CQ672" s="29"/>
      <c r="CR672" s="29"/>
      <c r="CS672" s="29"/>
      <c r="CT672" s="29"/>
      <c r="CU672" s="29"/>
      <c r="CV672" s="29"/>
      <c r="CW672" s="29"/>
      <c r="CX672" s="29"/>
      <c r="CY672" s="29"/>
      <c r="CZ672" s="29"/>
      <c r="DA672" s="29"/>
      <c r="DB672" s="29"/>
      <c r="DC672" s="29"/>
      <c r="DD672" s="29"/>
      <c r="DE672" s="29"/>
      <c r="DF672" s="29"/>
      <c r="DG672" s="29"/>
      <c r="DH672" s="29"/>
      <c r="DI672" s="29"/>
      <c r="DJ672" s="29"/>
    </row>
    <row r="673" spans="1:114" s="38" customFormat="1" ht="15">
      <c r="A673" s="242" t="s">
        <v>397</v>
      </c>
      <c r="B673" s="288" t="s">
        <v>398</v>
      </c>
      <c r="C673" s="288"/>
      <c r="D673" s="288"/>
      <c r="E673" s="288"/>
      <c r="F673" s="288"/>
      <c r="G673" s="288"/>
      <c r="H673" s="288"/>
      <c r="I673" s="288"/>
      <c r="J673" s="37"/>
      <c r="K673" s="27"/>
      <c r="L673" s="27"/>
      <c r="M673" s="27"/>
      <c r="N673" s="27"/>
      <c r="O673" s="27"/>
      <c r="P673" s="27"/>
      <c r="Q673" s="27"/>
      <c r="R673" s="27"/>
      <c r="S673" s="27"/>
      <c r="T673" s="27"/>
      <c r="U673" s="27"/>
      <c r="V673" s="28"/>
      <c r="W673" s="28"/>
      <c r="X673" s="28"/>
      <c r="Y673" s="28"/>
      <c r="Z673" s="28"/>
      <c r="AA673" s="28"/>
      <c r="AB673" s="28"/>
      <c r="AC673" s="28"/>
      <c r="AD673" s="28"/>
      <c r="AE673" s="28"/>
      <c r="AF673" s="28"/>
      <c r="AG673" s="28"/>
      <c r="AH673" s="28"/>
      <c r="AI673" s="28"/>
      <c r="AJ673" s="28"/>
      <c r="AK673" s="28"/>
      <c r="AL673" s="28"/>
      <c r="AM673" s="29"/>
      <c r="AN673" s="29"/>
      <c r="AO673" s="29"/>
      <c r="AP673" s="29"/>
      <c r="AQ673" s="29"/>
      <c r="AR673" s="29"/>
      <c r="AS673" s="29"/>
      <c r="AT673" s="29"/>
      <c r="AU673" s="29"/>
      <c r="AV673" s="29"/>
      <c r="AW673" s="29"/>
      <c r="AX673" s="29"/>
      <c r="AY673" s="29"/>
      <c r="AZ673" s="29"/>
      <c r="BA673" s="29"/>
      <c r="BB673" s="29"/>
      <c r="BC673" s="29"/>
      <c r="BD673" s="29"/>
      <c r="BE673" s="29"/>
      <c r="BF673" s="29"/>
      <c r="BG673" s="29"/>
      <c r="BH673" s="29"/>
      <c r="BI673" s="29"/>
      <c r="BJ673" s="29"/>
      <c r="BK673" s="29"/>
      <c r="BL673" s="29"/>
      <c r="BM673" s="29"/>
      <c r="BN673" s="29"/>
      <c r="BO673" s="29"/>
      <c r="BP673" s="29"/>
      <c r="BQ673" s="29"/>
      <c r="BR673" s="29"/>
      <c r="BS673" s="29"/>
      <c r="BT673" s="29"/>
      <c r="BU673" s="29"/>
      <c r="BV673" s="29"/>
      <c r="BW673" s="29"/>
      <c r="BX673" s="29"/>
      <c r="BY673" s="29"/>
      <c r="BZ673" s="29"/>
      <c r="CA673" s="29"/>
      <c r="CB673" s="29"/>
      <c r="CC673" s="29"/>
      <c r="CD673" s="29"/>
      <c r="CE673" s="29"/>
      <c r="CF673" s="29"/>
      <c r="CG673" s="29"/>
      <c r="CH673" s="29"/>
      <c r="CI673" s="29"/>
      <c r="CJ673" s="29"/>
      <c r="CK673" s="29"/>
      <c r="CL673" s="29"/>
      <c r="CM673" s="29"/>
      <c r="CN673" s="29"/>
      <c r="CO673" s="29"/>
      <c r="CP673" s="29"/>
      <c r="CQ673" s="29"/>
      <c r="CR673" s="29"/>
      <c r="CS673" s="29"/>
      <c r="CT673" s="29"/>
      <c r="CU673" s="29"/>
      <c r="CV673" s="29"/>
      <c r="CW673" s="29"/>
      <c r="CX673" s="29"/>
      <c r="CY673" s="29"/>
      <c r="CZ673" s="29"/>
      <c r="DA673" s="29"/>
      <c r="DB673" s="29"/>
      <c r="DC673" s="29"/>
      <c r="DD673" s="29"/>
      <c r="DE673" s="29"/>
      <c r="DF673" s="29"/>
      <c r="DG673" s="29"/>
      <c r="DH673" s="29"/>
      <c r="DI673" s="29"/>
      <c r="DJ673" s="29"/>
    </row>
    <row r="674" spans="1:114" s="38" customFormat="1" ht="15">
      <c r="A674" s="242" t="s">
        <v>399</v>
      </c>
      <c r="B674" s="288" t="s">
        <v>400</v>
      </c>
      <c r="C674" s="288"/>
      <c r="D674" s="288"/>
      <c r="E674" s="288"/>
      <c r="F674" s="288"/>
      <c r="G674" s="288"/>
      <c r="H674" s="288"/>
      <c r="I674" s="288"/>
      <c r="J674" s="37"/>
      <c r="K674" s="27"/>
      <c r="L674" s="27"/>
      <c r="M674" s="27"/>
      <c r="N674" s="27"/>
      <c r="O674" s="27"/>
      <c r="P674" s="27"/>
      <c r="Q674" s="27"/>
      <c r="R674" s="27"/>
      <c r="S674" s="27"/>
      <c r="T674" s="27"/>
      <c r="U674" s="27"/>
      <c r="V674" s="28"/>
      <c r="W674" s="28"/>
      <c r="X674" s="28"/>
      <c r="Y674" s="28"/>
      <c r="Z674" s="28"/>
      <c r="AA674" s="28"/>
      <c r="AB674" s="28"/>
      <c r="AC674" s="28"/>
      <c r="AD674" s="28"/>
      <c r="AE674" s="28"/>
      <c r="AF674" s="28"/>
      <c r="AG674" s="28"/>
      <c r="AH674" s="28"/>
      <c r="AI674" s="28"/>
      <c r="AJ674" s="28"/>
      <c r="AK674" s="28"/>
      <c r="AL674" s="28"/>
      <c r="AM674" s="29"/>
      <c r="AN674" s="29"/>
      <c r="AO674" s="29"/>
      <c r="AP674" s="29"/>
      <c r="AQ674" s="29"/>
      <c r="AR674" s="29"/>
      <c r="AS674" s="29"/>
      <c r="AT674" s="29"/>
      <c r="AU674" s="29"/>
      <c r="AV674" s="29"/>
      <c r="AW674" s="29"/>
      <c r="AX674" s="29"/>
      <c r="AY674" s="29"/>
      <c r="AZ674" s="29"/>
      <c r="BA674" s="29"/>
      <c r="BB674" s="29"/>
      <c r="BC674" s="29"/>
      <c r="BD674" s="29"/>
      <c r="BE674" s="29"/>
      <c r="BF674" s="29"/>
      <c r="BG674" s="29"/>
      <c r="BH674" s="29"/>
      <c r="BI674" s="29"/>
      <c r="BJ674" s="29"/>
      <c r="BK674" s="29"/>
      <c r="BL674" s="29"/>
      <c r="BM674" s="29"/>
      <c r="BN674" s="29"/>
      <c r="BO674" s="29"/>
      <c r="BP674" s="29"/>
      <c r="BQ674" s="29"/>
      <c r="BR674" s="29"/>
      <c r="BS674" s="29"/>
      <c r="BT674" s="29"/>
      <c r="BU674" s="29"/>
      <c r="BV674" s="29"/>
      <c r="BW674" s="29"/>
      <c r="BX674" s="29"/>
      <c r="BY674" s="29"/>
      <c r="BZ674" s="29"/>
      <c r="CA674" s="29"/>
      <c r="CB674" s="29"/>
      <c r="CC674" s="29"/>
      <c r="CD674" s="29"/>
      <c r="CE674" s="29"/>
      <c r="CF674" s="29"/>
      <c r="CG674" s="29"/>
      <c r="CH674" s="29"/>
      <c r="CI674" s="29"/>
      <c r="CJ674" s="29"/>
      <c r="CK674" s="29"/>
      <c r="CL674" s="29"/>
      <c r="CM674" s="29"/>
      <c r="CN674" s="29"/>
      <c r="CO674" s="29"/>
      <c r="CP674" s="29"/>
      <c r="CQ674" s="29"/>
      <c r="CR674" s="29"/>
      <c r="CS674" s="29"/>
      <c r="CT674" s="29"/>
      <c r="CU674" s="29"/>
      <c r="CV674" s="29"/>
      <c r="CW674" s="29"/>
      <c r="CX674" s="29"/>
      <c r="CY674" s="29"/>
      <c r="CZ674" s="29"/>
      <c r="DA674" s="29"/>
      <c r="DB674" s="29"/>
      <c r="DC674" s="29"/>
      <c r="DD674" s="29"/>
      <c r="DE674" s="29"/>
      <c r="DF674" s="29"/>
      <c r="DG674" s="29"/>
      <c r="DH674" s="29"/>
      <c r="DI674" s="29"/>
      <c r="DJ674" s="29"/>
    </row>
    <row r="675" spans="1:114" s="38" customFormat="1" ht="27" customHeight="1">
      <c r="A675" s="242" t="s">
        <v>401</v>
      </c>
      <c r="B675" s="288" t="s">
        <v>650</v>
      </c>
      <c r="C675" s="288"/>
      <c r="D675" s="288"/>
      <c r="E675" s="288"/>
      <c r="F675" s="288"/>
      <c r="G675" s="288"/>
      <c r="H675" s="288"/>
      <c r="I675" s="288"/>
      <c r="J675" s="37"/>
      <c r="K675" s="27"/>
      <c r="L675" s="27"/>
      <c r="M675" s="27"/>
      <c r="N675" s="27"/>
      <c r="O675" s="27"/>
      <c r="P675" s="27"/>
      <c r="Q675" s="27"/>
      <c r="R675" s="27"/>
      <c r="S675" s="27"/>
      <c r="T675" s="27"/>
      <c r="U675" s="27"/>
      <c r="V675" s="28"/>
      <c r="W675" s="28"/>
      <c r="X675" s="28"/>
      <c r="Y675" s="28"/>
      <c r="Z675" s="28"/>
      <c r="AA675" s="28"/>
      <c r="AB675" s="28"/>
      <c r="AC675" s="28"/>
      <c r="AD675" s="28"/>
      <c r="AE675" s="28"/>
      <c r="AF675" s="28"/>
      <c r="AG675" s="28"/>
      <c r="AH675" s="28"/>
      <c r="AI675" s="28"/>
      <c r="AJ675" s="28"/>
      <c r="AK675" s="28"/>
      <c r="AL675" s="28"/>
      <c r="AM675" s="29"/>
      <c r="AN675" s="29"/>
      <c r="AO675" s="29"/>
      <c r="AP675" s="29"/>
      <c r="AQ675" s="29"/>
      <c r="AR675" s="29"/>
      <c r="AS675" s="29"/>
      <c r="AT675" s="29"/>
      <c r="AU675" s="29"/>
      <c r="AV675" s="29"/>
      <c r="AW675" s="29"/>
      <c r="AX675" s="29"/>
      <c r="AY675" s="29"/>
      <c r="AZ675" s="29"/>
      <c r="BA675" s="29"/>
      <c r="BB675" s="29"/>
      <c r="BC675" s="29"/>
      <c r="BD675" s="29"/>
      <c r="BE675" s="29"/>
      <c r="BF675" s="29"/>
      <c r="BG675" s="29"/>
      <c r="BH675" s="29"/>
      <c r="BI675" s="29"/>
      <c r="BJ675" s="29"/>
      <c r="BK675" s="29"/>
      <c r="BL675" s="29"/>
      <c r="BM675" s="29"/>
      <c r="BN675" s="29"/>
      <c r="BO675" s="29"/>
      <c r="BP675" s="29"/>
      <c r="BQ675" s="29"/>
      <c r="BR675" s="29"/>
      <c r="BS675" s="29"/>
      <c r="BT675" s="29"/>
      <c r="BU675" s="29"/>
      <c r="BV675" s="29"/>
      <c r="BW675" s="29"/>
      <c r="BX675" s="29"/>
      <c r="BY675" s="29"/>
      <c r="BZ675" s="29"/>
      <c r="CA675" s="29"/>
      <c r="CB675" s="29"/>
      <c r="CC675" s="29"/>
      <c r="CD675" s="29"/>
      <c r="CE675" s="29"/>
      <c r="CF675" s="29"/>
      <c r="CG675" s="29"/>
      <c r="CH675" s="29"/>
      <c r="CI675" s="29"/>
      <c r="CJ675" s="29"/>
      <c r="CK675" s="29"/>
      <c r="CL675" s="29"/>
      <c r="CM675" s="29"/>
      <c r="CN675" s="29"/>
      <c r="CO675" s="29"/>
      <c r="CP675" s="29"/>
      <c r="CQ675" s="29"/>
      <c r="CR675" s="29"/>
      <c r="CS675" s="29"/>
      <c r="CT675" s="29"/>
      <c r="CU675" s="29"/>
      <c r="CV675" s="29"/>
      <c r="CW675" s="29"/>
      <c r="CX675" s="29"/>
      <c r="CY675" s="29"/>
      <c r="CZ675" s="29"/>
      <c r="DA675" s="29"/>
      <c r="DB675" s="29"/>
      <c r="DC675" s="29"/>
      <c r="DD675" s="29"/>
      <c r="DE675" s="29"/>
      <c r="DF675" s="29"/>
      <c r="DG675" s="29"/>
      <c r="DH675" s="29"/>
      <c r="DI675" s="29"/>
      <c r="DJ675" s="29"/>
    </row>
    <row r="676" spans="1:114" s="38" customFormat="1" ht="15">
      <c r="A676" s="242" t="s">
        <v>402</v>
      </c>
      <c r="B676" s="288" t="s">
        <v>403</v>
      </c>
      <c r="C676" s="288"/>
      <c r="D676" s="288"/>
      <c r="E676" s="288"/>
      <c r="F676" s="288"/>
      <c r="G676" s="288"/>
      <c r="H676" s="288"/>
      <c r="I676" s="288"/>
      <c r="J676" s="37"/>
      <c r="K676" s="27"/>
      <c r="L676" s="27"/>
      <c r="M676" s="27"/>
      <c r="N676" s="27"/>
      <c r="O676" s="27"/>
      <c r="P676" s="27"/>
      <c r="Q676" s="27"/>
      <c r="R676" s="27"/>
      <c r="S676" s="27"/>
      <c r="T676" s="27"/>
      <c r="U676" s="27"/>
      <c r="V676" s="28"/>
      <c r="W676" s="28"/>
      <c r="X676" s="28"/>
      <c r="Y676" s="28"/>
      <c r="Z676" s="28"/>
      <c r="AA676" s="28"/>
      <c r="AB676" s="28"/>
      <c r="AC676" s="28"/>
      <c r="AD676" s="28"/>
      <c r="AE676" s="28"/>
      <c r="AF676" s="28"/>
      <c r="AG676" s="28"/>
      <c r="AH676" s="28"/>
      <c r="AI676" s="28"/>
      <c r="AJ676" s="28"/>
      <c r="AK676" s="28"/>
      <c r="AL676" s="28"/>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row>
    <row r="677" spans="1:114" s="38" customFormat="1" ht="15">
      <c r="A677" s="242"/>
      <c r="B677" s="288" t="s">
        <v>404</v>
      </c>
      <c r="C677" s="288"/>
      <c r="D677" s="288"/>
      <c r="E677" s="288"/>
      <c r="F677" s="288"/>
      <c r="G677" s="288"/>
      <c r="H677" s="288"/>
      <c r="I677" s="288"/>
      <c r="J677" s="37"/>
      <c r="K677" s="27"/>
      <c r="L677" s="27"/>
      <c r="M677" s="27"/>
      <c r="N677" s="27"/>
      <c r="O677" s="27"/>
      <c r="P677" s="27"/>
      <c r="Q677" s="27"/>
      <c r="R677" s="27"/>
      <c r="S677" s="27"/>
      <c r="T677" s="27"/>
      <c r="U677" s="27"/>
      <c r="V677" s="28"/>
      <c r="W677" s="28"/>
      <c r="X677" s="28"/>
      <c r="Y677" s="28"/>
      <c r="Z677" s="28"/>
      <c r="AA677" s="28"/>
      <c r="AB677" s="28"/>
      <c r="AC677" s="28"/>
      <c r="AD677" s="28"/>
      <c r="AE677" s="28"/>
      <c r="AF677" s="28"/>
      <c r="AG677" s="28"/>
      <c r="AH677" s="28"/>
      <c r="AI677" s="28"/>
      <c r="AJ677" s="28"/>
      <c r="AK677" s="28"/>
      <c r="AL677" s="28"/>
      <c r="AM677" s="29"/>
      <c r="AN677" s="29"/>
      <c r="AO677" s="29"/>
      <c r="AP677" s="29"/>
      <c r="AQ677" s="29"/>
      <c r="AR677" s="29"/>
      <c r="AS677" s="29"/>
      <c r="AT677" s="29"/>
      <c r="AU677" s="29"/>
      <c r="AV677" s="29"/>
      <c r="AW677" s="29"/>
      <c r="AX677" s="29"/>
      <c r="AY677" s="29"/>
      <c r="AZ677" s="29"/>
      <c r="BA677" s="29"/>
      <c r="BB677" s="29"/>
      <c r="BC677" s="29"/>
      <c r="BD677" s="29"/>
      <c r="BE677" s="29"/>
      <c r="BF677" s="29"/>
      <c r="BG677" s="29"/>
      <c r="BH677" s="29"/>
      <c r="BI677" s="29"/>
      <c r="BJ677" s="29"/>
      <c r="BK677" s="29"/>
      <c r="BL677" s="29"/>
      <c r="BM677" s="29"/>
      <c r="BN677" s="29"/>
      <c r="BO677" s="29"/>
      <c r="BP677" s="29"/>
      <c r="BQ677" s="29"/>
      <c r="BR677" s="29"/>
      <c r="BS677" s="29"/>
      <c r="BT677" s="29"/>
      <c r="BU677" s="29"/>
      <c r="BV677" s="29"/>
      <c r="BW677" s="29"/>
      <c r="BX677" s="29"/>
      <c r="BY677" s="29"/>
      <c r="BZ677" s="29"/>
      <c r="CA677" s="29"/>
      <c r="CB677" s="29"/>
      <c r="CC677" s="29"/>
      <c r="CD677" s="29"/>
      <c r="CE677" s="29"/>
      <c r="CF677" s="29"/>
      <c r="CG677" s="29"/>
      <c r="CH677" s="29"/>
      <c r="CI677" s="29"/>
      <c r="CJ677" s="29"/>
      <c r="CK677" s="29"/>
      <c r="CL677" s="29"/>
      <c r="CM677" s="29"/>
      <c r="CN677" s="29"/>
      <c r="CO677" s="29"/>
      <c r="CP677" s="29"/>
      <c r="CQ677" s="29"/>
      <c r="CR677" s="29"/>
      <c r="CS677" s="29"/>
      <c r="CT677" s="29"/>
      <c r="CU677" s="29"/>
      <c r="CV677" s="29"/>
      <c r="CW677" s="29"/>
      <c r="CX677" s="29"/>
      <c r="CY677" s="29"/>
      <c r="CZ677" s="29"/>
      <c r="DA677" s="29"/>
      <c r="DB677" s="29"/>
      <c r="DC677" s="29"/>
      <c r="DD677" s="29"/>
      <c r="DE677" s="29"/>
      <c r="DF677" s="29"/>
      <c r="DG677" s="29"/>
      <c r="DH677" s="29"/>
      <c r="DI677" s="29"/>
      <c r="DJ677" s="29"/>
    </row>
    <row r="678" spans="1:114" s="38" customFormat="1" ht="30.75" customHeight="1">
      <c r="A678" s="242" t="s">
        <v>460</v>
      </c>
      <c r="B678" s="288" t="s">
        <v>652</v>
      </c>
      <c r="C678" s="288"/>
      <c r="D678" s="288"/>
      <c r="E678" s="288"/>
      <c r="F678" s="288"/>
      <c r="G678" s="288"/>
      <c r="H678" s="288"/>
      <c r="I678" s="288"/>
      <c r="J678" s="37"/>
      <c r="K678" s="27"/>
      <c r="L678" s="27"/>
      <c r="M678" s="27"/>
      <c r="N678" s="27"/>
      <c r="O678" s="27"/>
      <c r="P678" s="27"/>
      <c r="Q678" s="27"/>
      <c r="R678" s="27"/>
      <c r="S678" s="27"/>
      <c r="T678" s="27"/>
      <c r="U678" s="27"/>
      <c r="V678" s="28"/>
      <c r="W678" s="28"/>
      <c r="X678" s="28"/>
      <c r="Y678" s="28"/>
      <c r="Z678" s="28"/>
      <c r="AA678" s="28"/>
      <c r="AB678" s="28"/>
      <c r="AC678" s="28"/>
      <c r="AD678" s="28"/>
      <c r="AE678" s="28"/>
      <c r="AF678" s="28"/>
      <c r="AG678" s="28"/>
      <c r="AH678" s="28"/>
      <c r="AI678" s="28"/>
      <c r="AJ678" s="28"/>
      <c r="AK678" s="28"/>
      <c r="AL678" s="28"/>
      <c r="AM678" s="29"/>
      <c r="AN678" s="29"/>
      <c r="AO678" s="29"/>
      <c r="AP678" s="29"/>
      <c r="AQ678" s="29"/>
      <c r="AR678" s="29"/>
      <c r="AS678" s="29"/>
      <c r="AT678" s="29"/>
      <c r="AU678" s="29"/>
      <c r="AV678" s="29"/>
      <c r="AW678" s="29"/>
      <c r="AX678" s="29"/>
      <c r="AY678" s="29"/>
      <c r="AZ678" s="29"/>
      <c r="BA678" s="29"/>
      <c r="BB678" s="29"/>
      <c r="BC678" s="29"/>
      <c r="BD678" s="29"/>
      <c r="BE678" s="29"/>
      <c r="BF678" s="29"/>
      <c r="BG678" s="29"/>
      <c r="BH678" s="29"/>
      <c r="BI678" s="29"/>
      <c r="BJ678" s="29"/>
      <c r="BK678" s="29"/>
      <c r="BL678" s="29"/>
      <c r="BM678" s="29"/>
      <c r="BN678" s="29"/>
      <c r="BO678" s="29"/>
      <c r="BP678" s="29"/>
      <c r="BQ678" s="29"/>
      <c r="BR678" s="29"/>
      <c r="BS678" s="29"/>
      <c r="BT678" s="29"/>
      <c r="BU678" s="29"/>
      <c r="BV678" s="29"/>
      <c r="BW678" s="29"/>
      <c r="BX678" s="29"/>
      <c r="BY678" s="29"/>
      <c r="BZ678" s="29"/>
      <c r="CA678" s="29"/>
      <c r="CB678" s="29"/>
      <c r="CC678" s="29"/>
      <c r="CD678" s="29"/>
      <c r="CE678" s="29"/>
      <c r="CF678" s="29"/>
      <c r="CG678" s="29"/>
      <c r="CH678" s="29"/>
      <c r="CI678" s="29"/>
      <c r="CJ678" s="29"/>
      <c r="CK678" s="29"/>
      <c r="CL678" s="29"/>
      <c r="CM678" s="29"/>
      <c r="CN678" s="29"/>
      <c r="CO678" s="29"/>
      <c r="CP678" s="29"/>
      <c r="CQ678" s="29"/>
      <c r="CR678" s="29"/>
      <c r="CS678" s="29"/>
      <c r="CT678" s="29"/>
      <c r="CU678" s="29"/>
      <c r="CV678" s="29"/>
      <c r="CW678" s="29"/>
      <c r="CX678" s="29"/>
      <c r="CY678" s="29"/>
      <c r="CZ678" s="29"/>
      <c r="DA678" s="29"/>
      <c r="DB678" s="29"/>
      <c r="DC678" s="29"/>
      <c r="DD678" s="29"/>
      <c r="DE678" s="29"/>
      <c r="DF678" s="29"/>
      <c r="DG678" s="29"/>
      <c r="DH678" s="29"/>
      <c r="DI678" s="29"/>
      <c r="DJ678" s="29"/>
    </row>
    <row r="679" spans="1:114" s="38" customFormat="1" ht="26.25" customHeight="1">
      <c r="A679" s="242" t="s">
        <v>537</v>
      </c>
      <c r="B679" s="288" t="s">
        <v>653</v>
      </c>
      <c r="C679" s="288"/>
      <c r="D679" s="288"/>
      <c r="E679" s="288"/>
      <c r="F679" s="288"/>
      <c r="G679" s="288"/>
      <c r="H679" s="288"/>
      <c r="I679" s="288"/>
      <c r="J679" s="37"/>
      <c r="K679" s="27"/>
      <c r="L679" s="27"/>
      <c r="M679" s="27"/>
      <c r="N679" s="27"/>
      <c r="O679" s="27"/>
      <c r="P679" s="27"/>
      <c r="Q679" s="27"/>
      <c r="R679" s="27"/>
      <c r="S679" s="27"/>
      <c r="T679" s="27"/>
      <c r="U679" s="27"/>
      <c r="V679" s="28"/>
      <c r="W679" s="28"/>
      <c r="X679" s="28"/>
      <c r="Y679" s="28"/>
      <c r="Z679" s="28"/>
      <c r="AA679" s="28"/>
      <c r="AB679" s="28"/>
      <c r="AC679" s="28"/>
      <c r="AD679" s="28"/>
      <c r="AE679" s="28"/>
      <c r="AF679" s="28"/>
      <c r="AG679" s="28"/>
      <c r="AH679" s="28"/>
      <c r="AI679" s="28"/>
      <c r="AJ679" s="28"/>
      <c r="AK679" s="28"/>
      <c r="AL679" s="28"/>
      <c r="AM679" s="29"/>
      <c r="AN679" s="29"/>
      <c r="AO679" s="29"/>
      <c r="AP679" s="29"/>
      <c r="AQ679" s="29"/>
      <c r="AR679" s="29"/>
      <c r="AS679" s="29"/>
      <c r="AT679" s="29"/>
      <c r="AU679" s="29"/>
      <c r="AV679" s="29"/>
      <c r="AW679" s="29"/>
      <c r="AX679" s="29"/>
      <c r="AY679" s="29"/>
      <c r="AZ679" s="29"/>
      <c r="BA679" s="29"/>
      <c r="BB679" s="29"/>
      <c r="BC679" s="29"/>
      <c r="BD679" s="29"/>
      <c r="BE679" s="29"/>
      <c r="BF679" s="29"/>
      <c r="BG679" s="29"/>
      <c r="BH679" s="29"/>
      <c r="BI679" s="29"/>
      <c r="BJ679" s="29"/>
      <c r="BK679" s="29"/>
      <c r="BL679" s="29"/>
      <c r="BM679" s="29"/>
      <c r="BN679" s="29"/>
      <c r="BO679" s="29"/>
      <c r="BP679" s="29"/>
      <c r="BQ679" s="29"/>
      <c r="BR679" s="29"/>
      <c r="BS679" s="29"/>
      <c r="BT679" s="29"/>
      <c r="BU679" s="29"/>
      <c r="BV679" s="29"/>
      <c r="BW679" s="29"/>
      <c r="BX679" s="29"/>
      <c r="BY679" s="29"/>
      <c r="BZ679" s="29"/>
      <c r="CA679" s="29"/>
      <c r="CB679" s="29"/>
      <c r="CC679" s="29"/>
      <c r="CD679" s="29"/>
      <c r="CE679" s="29"/>
      <c r="CF679" s="29"/>
      <c r="CG679" s="29"/>
      <c r="CH679" s="29"/>
      <c r="CI679" s="29"/>
      <c r="CJ679" s="29"/>
      <c r="CK679" s="29"/>
      <c r="CL679" s="29"/>
      <c r="CM679" s="29"/>
      <c r="CN679" s="29"/>
      <c r="CO679" s="29"/>
      <c r="CP679" s="29"/>
      <c r="CQ679" s="29"/>
      <c r="CR679" s="29"/>
      <c r="CS679" s="29"/>
      <c r="CT679" s="29"/>
      <c r="CU679" s="29"/>
      <c r="CV679" s="29"/>
      <c r="CW679" s="29"/>
      <c r="CX679" s="29"/>
      <c r="CY679" s="29"/>
      <c r="CZ679" s="29"/>
      <c r="DA679" s="29"/>
      <c r="DB679" s="29"/>
      <c r="DC679" s="29"/>
      <c r="DD679" s="29"/>
      <c r="DE679" s="29"/>
      <c r="DF679" s="29"/>
      <c r="DG679" s="29"/>
      <c r="DH679" s="29"/>
      <c r="DI679" s="29"/>
      <c r="DJ679" s="29"/>
    </row>
    <row r="680" spans="1:114" s="38" customFormat="1" ht="15">
      <c r="A680" s="242" t="s">
        <v>542</v>
      </c>
      <c r="B680" s="288" t="s">
        <v>584</v>
      </c>
      <c r="C680" s="288"/>
      <c r="D680" s="288"/>
      <c r="E680" s="288"/>
      <c r="F680" s="288"/>
      <c r="G680" s="288"/>
      <c r="H680" s="288"/>
      <c r="I680" s="288"/>
      <c r="J680" s="37"/>
      <c r="K680" s="27"/>
      <c r="L680" s="27"/>
      <c r="M680" s="27"/>
      <c r="N680" s="27"/>
      <c r="O680" s="27"/>
      <c r="P680" s="27"/>
      <c r="Q680" s="27"/>
      <c r="R680" s="27"/>
      <c r="S680" s="27"/>
      <c r="T680" s="27"/>
      <c r="U680" s="27"/>
      <c r="V680" s="28"/>
      <c r="W680" s="28"/>
      <c r="X680" s="28"/>
      <c r="Y680" s="28"/>
      <c r="Z680" s="28"/>
      <c r="AA680" s="28"/>
      <c r="AB680" s="28"/>
      <c r="AC680" s="28"/>
      <c r="AD680" s="28"/>
      <c r="AE680" s="28"/>
      <c r="AF680" s="28"/>
      <c r="AG680" s="28"/>
      <c r="AH680" s="28"/>
      <c r="AI680" s="28"/>
      <c r="AJ680" s="28"/>
      <c r="AK680" s="28"/>
      <c r="AL680" s="28"/>
      <c r="AM680" s="29"/>
      <c r="AN680" s="29"/>
      <c r="AO680" s="29"/>
      <c r="AP680" s="29"/>
      <c r="AQ680" s="29"/>
      <c r="AR680" s="29"/>
      <c r="AS680" s="29"/>
      <c r="AT680" s="29"/>
      <c r="AU680" s="29"/>
      <c r="AV680" s="29"/>
      <c r="AW680" s="29"/>
      <c r="AX680" s="29"/>
      <c r="AY680" s="29"/>
      <c r="AZ680" s="29"/>
      <c r="BA680" s="29"/>
      <c r="BB680" s="29"/>
      <c r="BC680" s="29"/>
      <c r="BD680" s="29"/>
      <c r="BE680" s="29"/>
      <c r="BF680" s="29"/>
      <c r="BG680" s="29"/>
      <c r="BH680" s="29"/>
      <c r="BI680" s="29"/>
      <c r="BJ680" s="29"/>
      <c r="BK680" s="29"/>
      <c r="BL680" s="29"/>
      <c r="BM680" s="29"/>
      <c r="BN680" s="29"/>
      <c r="BO680" s="29"/>
      <c r="BP680" s="29"/>
      <c r="BQ680" s="29"/>
      <c r="BR680" s="29"/>
      <c r="BS680" s="29"/>
      <c r="BT680" s="29"/>
      <c r="BU680" s="29"/>
      <c r="BV680" s="29"/>
      <c r="BW680" s="29"/>
      <c r="BX680" s="29"/>
      <c r="BY680" s="29"/>
      <c r="BZ680" s="29"/>
      <c r="CA680" s="29"/>
      <c r="CB680" s="29"/>
      <c r="CC680" s="29"/>
      <c r="CD680" s="29"/>
      <c r="CE680" s="29"/>
      <c r="CF680" s="29"/>
      <c r="CG680" s="29"/>
      <c r="CH680" s="29"/>
      <c r="CI680" s="29"/>
      <c r="CJ680" s="29"/>
      <c r="CK680" s="29"/>
      <c r="CL680" s="29"/>
      <c r="CM680" s="29"/>
      <c r="CN680" s="29"/>
      <c r="CO680" s="29"/>
      <c r="CP680" s="29"/>
      <c r="CQ680" s="29"/>
      <c r="CR680" s="29"/>
      <c r="CS680" s="29"/>
      <c r="CT680" s="29"/>
      <c r="CU680" s="29"/>
      <c r="CV680" s="29"/>
      <c r="CW680" s="29"/>
      <c r="CX680" s="29"/>
      <c r="CY680" s="29"/>
      <c r="CZ680" s="29"/>
      <c r="DA680" s="29"/>
      <c r="DB680" s="29"/>
      <c r="DC680" s="29"/>
      <c r="DD680" s="29"/>
      <c r="DE680" s="29"/>
      <c r="DF680" s="29"/>
      <c r="DG680" s="29"/>
      <c r="DH680" s="29"/>
      <c r="DI680" s="29"/>
      <c r="DJ680" s="29"/>
    </row>
    <row r="681" spans="1:114" s="38" customFormat="1" ht="27" customHeight="1">
      <c r="A681" s="242"/>
      <c r="B681" s="288" t="s">
        <v>654</v>
      </c>
      <c r="C681" s="288"/>
      <c r="D681" s="288"/>
      <c r="E681" s="288"/>
      <c r="F681" s="288"/>
      <c r="G681" s="288"/>
      <c r="H681" s="288"/>
      <c r="I681" s="288"/>
      <c r="J681" s="37"/>
      <c r="K681" s="27"/>
      <c r="L681" s="27"/>
      <c r="M681" s="27"/>
      <c r="N681" s="27"/>
      <c r="O681" s="27"/>
      <c r="P681" s="27"/>
      <c r="Q681" s="27"/>
      <c r="R681" s="27"/>
      <c r="S681" s="27"/>
      <c r="T681" s="27"/>
      <c r="U681" s="27"/>
      <c r="V681" s="28"/>
      <c r="W681" s="28"/>
      <c r="X681" s="28"/>
      <c r="Y681" s="28"/>
      <c r="Z681" s="28"/>
      <c r="AA681" s="28"/>
      <c r="AB681" s="28"/>
      <c r="AC681" s="28"/>
      <c r="AD681" s="28"/>
      <c r="AE681" s="28"/>
      <c r="AF681" s="28"/>
      <c r="AG681" s="28"/>
      <c r="AH681" s="28"/>
      <c r="AI681" s="28"/>
      <c r="AJ681" s="28"/>
      <c r="AK681" s="28"/>
      <c r="AL681" s="28"/>
      <c r="AM681" s="29"/>
      <c r="AN681" s="29"/>
      <c r="AO681" s="29"/>
      <c r="AP681" s="29"/>
      <c r="AQ681" s="29"/>
      <c r="AR681" s="29"/>
      <c r="AS681" s="29"/>
      <c r="AT681" s="29"/>
      <c r="AU681" s="29"/>
      <c r="AV681" s="29"/>
      <c r="AW681" s="29"/>
      <c r="AX681" s="29"/>
      <c r="AY681" s="29"/>
      <c r="AZ681" s="29"/>
      <c r="BA681" s="29"/>
      <c r="BB681" s="29"/>
      <c r="BC681" s="29"/>
      <c r="BD681" s="29"/>
      <c r="BE681" s="29"/>
      <c r="BF681" s="29"/>
      <c r="BG681" s="29"/>
      <c r="BH681" s="29"/>
      <c r="BI681" s="29"/>
      <c r="BJ681" s="29"/>
      <c r="BK681" s="29"/>
      <c r="BL681" s="29"/>
      <c r="BM681" s="29"/>
      <c r="BN681" s="29"/>
      <c r="BO681" s="29"/>
      <c r="BP681" s="29"/>
      <c r="BQ681" s="29"/>
      <c r="BR681" s="29"/>
      <c r="BS681" s="29"/>
      <c r="BT681" s="29"/>
      <c r="BU681" s="29"/>
      <c r="BV681" s="29"/>
      <c r="BW681" s="29"/>
      <c r="BX681" s="29"/>
      <c r="BY681" s="29"/>
      <c r="BZ681" s="29"/>
      <c r="CA681" s="29"/>
      <c r="CB681" s="29"/>
      <c r="CC681" s="29"/>
      <c r="CD681" s="29"/>
      <c r="CE681" s="29"/>
      <c r="CF681" s="29"/>
      <c r="CG681" s="29"/>
      <c r="CH681" s="29"/>
      <c r="CI681" s="29"/>
      <c r="CJ681" s="29"/>
      <c r="CK681" s="29"/>
      <c r="CL681" s="29"/>
      <c r="CM681" s="29"/>
      <c r="CN681" s="29"/>
      <c r="CO681" s="29"/>
      <c r="CP681" s="29"/>
      <c r="CQ681" s="29"/>
      <c r="CR681" s="29"/>
      <c r="CS681" s="29"/>
      <c r="CT681" s="29"/>
      <c r="CU681" s="29"/>
      <c r="CV681" s="29"/>
      <c r="CW681" s="29"/>
      <c r="CX681" s="29"/>
      <c r="CY681" s="29"/>
      <c r="CZ681" s="29"/>
      <c r="DA681" s="29"/>
      <c r="DB681" s="29"/>
      <c r="DC681" s="29"/>
      <c r="DD681" s="29"/>
      <c r="DE681" s="29"/>
      <c r="DF681" s="29"/>
      <c r="DG681" s="29"/>
      <c r="DH681" s="29"/>
      <c r="DI681" s="29"/>
      <c r="DJ681" s="29"/>
    </row>
    <row r="682" spans="1:114" s="38" customFormat="1" ht="40.5" customHeight="1">
      <c r="A682" s="242" t="s">
        <v>426</v>
      </c>
      <c r="B682" s="288" t="s">
        <v>659</v>
      </c>
      <c r="C682" s="288"/>
      <c r="D682" s="288"/>
      <c r="E682" s="288"/>
      <c r="F682" s="288"/>
      <c r="G682" s="288"/>
      <c r="H682" s="288"/>
      <c r="I682" s="288"/>
      <c r="J682" s="37"/>
      <c r="K682" s="27"/>
      <c r="L682" s="27"/>
      <c r="M682" s="27"/>
      <c r="N682" s="27"/>
      <c r="O682" s="27"/>
      <c r="P682" s="27"/>
      <c r="Q682" s="27"/>
      <c r="R682" s="27"/>
      <c r="S682" s="27"/>
      <c r="T682" s="27"/>
      <c r="U682" s="27"/>
      <c r="V682" s="28"/>
      <c r="W682" s="28"/>
      <c r="X682" s="28"/>
      <c r="Y682" s="28"/>
      <c r="Z682" s="28"/>
      <c r="AA682" s="28"/>
      <c r="AB682" s="28"/>
      <c r="AC682" s="28"/>
      <c r="AD682" s="28"/>
      <c r="AE682" s="28"/>
      <c r="AF682" s="28"/>
      <c r="AG682" s="28"/>
      <c r="AH682" s="28"/>
      <c r="AI682" s="28"/>
      <c r="AJ682" s="28"/>
      <c r="AK682" s="28"/>
      <c r="AL682" s="28"/>
      <c r="AM682" s="29"/>
      <c r="AN682" s="29"/>
      <c r="AO682" s="29"/>
      <c r="AP682" s="29"/>
      <c r="AQ682" s="29"/>
      <c r="AR682" s="29"/>
      <c r="AS682" s="29"/>
      <c r="AT682" s="29"/>
      <c r="AU682" s="29"/>
      <c r="AV682" s="29"/>
      <c r="AW682" s="29"/>
      <c r="AX682" s="29"/>
      <c r="AY682" s="29"/>
      <c r="AZ682" s="29"/>
      <c r="BA682" s="29"/>
      <c r="BB682" s="29"/>
      <c r="BC682" s="29"/>
      <c r="BD682" s="29"/>
      <c r="BE682" s="29"/>
      <c r="BF682" s="29"/>
      <c r="BG682" s="29"/>
      <c r="BH682" s="29"/>
      <c r="BI682" s="29"/>
      <c r="BJ682" s="29"/>
      <c r="BK682" s="29"/>
      <c r="BL682" s="29"/>
      <c r="BM682" s="29"/>
      <c r="BN682" s="29"/>
      <c r="BO682" s="29"/>
      <c r="BP682" s="29"/>
      <c r="BQ682" s="29"/>
      <c r="BR682" s="29"/>
      <c r="BS682" s="29"/>
      <c r="BT682" s="29"/>
      <c r="BU682" s="29"/>
      <c r="BV682" s="29"/>
      <c r="BW682" s="29"/>
      <c r="BX682" s="29"/>
      <c r="BY682" s="29"/>
      <c r="BZ682" s="29"/>
      <c r="CA682" s="29"/>
      <c r="CB682" s="29"/>
      <c r="CC682" s="29"/>
      <c r="CD682" s="29"/>
      <c r="CE682" s="29"/>
      <c r="CF682" s="29"/>
      <c r="CG682" s="29"/>
      <c r="CH682" s="29"/>
      <c r="CI682" s="29"/>
      <c r="CJ682" s="29"/>
      <c r="CK682" s="29"/>
      <c r="CL682" s="29"/>
      <c r="CM682" s="29"/>
      <c r="CN682" s="29"/>
      <c r="CO682" s="29"/>
      <c r="CP682" s="29"/>
      <c r="CQ682" s="29"/>
      <c r="CR682" s="29"/>
      <c r="CS682" s="29"/>
      <c r="CT682" s="29"/>
      <c r="CU682" s="29"/>
      <c r="CV682" s="29"/>
      <c r="CW682" s="29"/>
      <c r="CX682" s="29"/>
      <c r="CY682" s="29"/>
      <c r="CZ682" s="29"/>
      <c r="DA682" s="29"/>
      <c r="DB682" s="29"/>
      <c r="DC682" s="29"/>
      <c r="DD682" s="29"/>
      <c r="DE682" s="29"/>
      <c r="DF682" s="29"/>
      <c r="DG682" s="29"/>
      <c r="DH682" s="29"/>
      <c r="DI682" s="29"/>
      <c r="DJ682" s="29"/>
    </row>
    <row r="683" spans="1:114" s="38" customFormat="1" ht="15">
      <c r="A683" s="242" t="s">
        <v>413</v>
      </c>
      <c r="B683" s="288" t="s">
        <v>389</v>
      </c>
      <c r="C683" s="288"/>
      <c r="D683" s="288"/>
      <c r="E683" s="288"/>
      <c r="F683" s="288"/>
      <c r="G683" s="288"/>
      <c r="H683" s="288"/>
      <c r="I683" s="288"/>
      <c r="J683" s="37"/>
      <c r="K683" s="27"/>
      <c r="L683" s="27"/>
      <c r="M683" s="27"/>
      <c r="N683" s="27"/>
      <c r="O683" s="27"/>
      <c r="P683" s="27"/>
      <c r="Q683" s="27"/>
      <c r="R683" s="27"/>
      <c r="S683" s="27"/>
      <c r="T683" s="27"/>
      <c r="U683" s="27"/>
      <c r="V683" s="28"/>
      <c r="W683" s="28"/>
      <c r="X683" s="28"/>
      <c r="Y683" s="28"/>
      <c r="Z683" s="28"/>
      <c r="AA683" s="28"/>
      <c r="AB683" s="28"/>
      <c r="AC683" s="28"/>
      <c r="AD683" s="28"/>
      <c r="AE683" s="28"/>
      <c r="AF683" s="28"/>
      <c r="AG683" s="28"/>
      <c r="AH683" s="28"/>
      <c r="AI683" s="28"/>
      <c r="AJ683" s="28"/>
      <c r="AK683" s="28"/>
      <c r="AL683" s="28"/>
      <c r="AM683" s="29"/>
      <c r="AN683" s="29"/>
      <c r="AO683" s="29"/>
      <c r="AP683" s="29"/>
      <c r="AQ683" s="29"/>
      <c r="AR683" s="29"/>
      <c r="AS683" s="29"/>
      <c r="AT683" s="29"/>
      <c r="AU683" s="29"/>
      <c r="AV683" s="29"/>
      <c r="AW683" s="29"/>
      <c r="AX683" s="29"/>
      <c r="AY683" s="29"/>
      <c r="AZ683" s="29"/>
      <c r="BA683" s="29"/>
      <c r="BB683" s="29"/>
      <c r="BC683" s="29"/>
      <c r="BD683" s="29"/>
      <c r="BE683" s="29"/>
      <c r="BF683" s="29"/>
      <c r="BG683" s="29"/>
      <c r="BH683" s="29"/>
      <c r="BI683" s="29"/>
      <c r="BJ683" s="29"/>
      <c r="BK683" s="29"/>
      <c r="BL683" s="29"/>
      <c r="BM683" s="29"/>
      <c r="BN683" s="29"/>
      <c r="BO683" s="29"/>
      <c r="BP683" s="29"/>
      <c r="BQ683" s="29"/>
      <c r="BR683" s="29"/>
      <c r="BS683" s="29"/>
      <c r="BT683" s="29"/>
      <c r="BU683" s="29"/>
      <c r="BV683" s="29"/>
      <c r="BW683" s="29"/>
      <c r="BX683" s="29"/>
      <c r="BY683" s="29"/>
      <c r="BZ683" s="29"/>
      <c r="CA683" s="29"/>
      <c r="CB683" s="29"/>
      <c r="CC683" s="29"/>
      <c r="CD683" s="29"/>
      <c r="CE683" s="29"/>
      <c r="CF683" s="29"/>
      <c r="CG683" s="29"/>
      <c r="CH683" s="29"/>
      <c r="CI683" s="29"/>
      <c r="CJ683" s="29"/>
      <c r="CK683" s="29"/>
      <c r="CL683" s="29"/>
      <c r="CM683" s="29"/>
      <c r="CN683" s="29"/>
      <c r="CO683" s="29"/>
      <c r="CP683" s="29"/>
      <c r="CQ683" s="29"/>
      <c r="CR683" s="29"/>
      <c r="CS683" s="29"/>
      <c r="CT683" s="29"/>
      <c r="CU683" s="29"/>
      <c r="CV683" s="29"/>
      <c r="CW683" s="29"/>
      <c r="CX683" s="29"/>
      <c r="CY683" s="29"/>
      <c r="CZ683" s="29"/>
      <c r="DA683" s="29"/>
      <c r="DB683" s="29"/>
      <c r="DC683" s="29"/>
      <c r="DD683" s="29"/>
      <c r="DE683" s="29"/>
      <c r="DF683" s="29"/>
      <c r="DG683" s="29"/>
      <c r="DH683" s="29"/>
      <c r="DI683" s="29"/>
      <c r="DJ683" s="29"/>
    </row>
    <row r="684" spans="1:114" s="38" customFormat="1" ht="15">
      <c r="A684" s="242" t="s">
        <v>414</v>
      </c>
      <c r="B684" s="288" t="s">
        <v>390</v>
      </c>
      <c r="C684" s="288"/>
      <c r="D684" s="288"/>
      <c r="E684" s="288"/>
      <c r="F684" s="288"/>
      <c r="G684" s="288"/>
      <c r="H684" s="288"/>
      <c r="I684" s="288"/>
      <c r="J684" s="37"/>
      <c r="K684" s="27"/>
      <c r="L684" s="27"/>
      <c r="M684" s="27"/>
      <c r="N684" s="27"/>
      <c r="O684" s="27"/>
      <c r="P684" s="27"/>
      <c r="Q684" s="27"/>
      <c r="R684" s="27"/>
      <c r="S684" s="27"/>
      <c r="T684" s="27"/>
      <c r="U684" s="27"/>
      <c r="V684" s="28"/>
      <c r="W684" s="28"/>
      <c r="X684" s="28"/>
      <c r="Y684" s="28"/>
      <c r="Z684" s="28"/>
      <c r="AA684" s="28"/>
      <c r="AB684" s="28"/>
      <c r="AC684" s="28"/>
      <c r="AD684" s="28"/>
      <c r="AE684" s="28"/>
      <c r="AF684" s="28"/>
      <c r="AG684" s="28"/>
      <c r="AH684" s="28"/>
      <c r="AI684" s="28"/>
      <c r="AJ684" s="28"/>
      <c r="AK684" s="28"/>
      <c r="AL684" s="28"/>
      <c r="AM684" s="29"/>
      <c r="AN684" s="29"/>
      <c r="AO684" s="29"/>
      <c r="AP684" s="29"/>
      <c r="AQ684" s="29"/>
      <c r="AR684" s="29"/>
      <c r="AS684" s="29"/>
      <c r="AT684" s="29"/>
      <c r="AU684" s="29"/>
      <c r="AV684" s="29"/>
      <c r="AW684" s="29"/>
      <c r="AX684" s="29"/>
      <c r="AY684" s="29"/>
      <c r="AZ684" s="29"/>
      <c r="BA684" s="29"/>
      <c r="BB684" s="29"/>
      <c r="BC684" s="29"/>
      <c r="BD684" s="29"/>
      <c r="BE684" s="29"/>
      <c r="BF684" s="29"/>
      <c r="BG684" s="29"/>
      <c r="BH684" s="29"/>
      <c r="BI684" s="29"/>
      <c r="BJ684" s="29"/>
      <c r="BK684" s="29"/>
      <c r="BL684" s="29"/>
      <c r="BM684" s="29"/>
      <c r="BN684" s="29"/>
      <c r="BO684" s="29"/>
      <c r="BP684" s="29"/>
      <c r="BQ684" s="29"/>
      <c r="BR684" s="29"/>
      <c r="BS684" s="29"/>
      <c r="BT684" s="29"/>
      <c r="BU684" s="29"/>
      <c r="BV684" s="29"/>
      <c r="BW684" s="29"/>
      <c r="BX684" s="29"/>
      <c r="BY684" s="29"/>
      <c r="BZ684" s="29"/>
      <c r="CA684" s="29"/>
      <c r="CB684" s="29"/>
      <c r="CC684" s="29"/>
      <c r="CD684" s="29"/>
      <c r="CE684" s="29"/>
      <c r="CF684" s="29"/>
      <c r="CG684" s="29"/>
      <c r="CH684" s="29"/>
      <c r="CI684" s="29"/>
      <c r="CJ684" s="29"/>
      <c r="CK684" s="29"/>
      <c r="CL684" s="29"/>
      <c r="CM684" s="29"/>
      <c r="CN684" s="29"/>
      <c r="CO684" s="29"/>
      <c r="CP684" s="29"/>
      <c r="CQ684" s="29"/>
      <c r="CR684" s="29"/>
      <c r="CS684" s="29"/>
      <c r="CT684" s="29"/>
      <c r="CU684" s="29"/>
      <c r="CV684" s="29"/>
      <c r="CW684" s="29"/>
      <c r="CX684" s="29"/>
      <c r="CY684" s="29"/>
      <c r="CZ684" s="29"/>
      <c r="DA684" s="29"/>
      <c r="DB684" s="29"/>
      <c r="DC684" s="29"/>
      <c r="DD684" s="29"/>
      <c r="DE684" s="29"/>
      <c r="DF684" s="29"/>
      <c r="DG684" s="29"/>
      <c r="DH684" s="29"/>
      <c r="DI684" s="29"/>
      <c r="DJ684" s="29"/>
    </row>
    <row r="685" spans="1:114" s="38" customFormat="1" ht="15">
      <c r="A685" s="242" t="s">
        <v>482</v>
      </c>
      <c r="B685" s="288" t="s">
        <v>164</v>
      </c>
      <c r="C685" s="288"/>
      <c r="D685" s="288"/>
      <c r="E685" s="288"/>
      <c r="F685" s="288"/>
      <c r="G685" s="288"/>
      <c r="H685" s="288"/>
      <c r="I685" s="288"/>
      <c r="J685" s="37"/>
      <c r="K685" s="27"/>
      <c r="L685" s="27"/>
      <c r="M685" s="27"/>
      <c r="N685" s="27"/>
      <c r="O685" s="27"/>
      <c r="P685" s="27"/>
      <c r="Q685" s="27"/>
      <c r="R685" s="27"/>
      <c r="S685" s="27"/>
      <c r="T685" s="27"/>
      <c r="U685" s="27"/>
      <c r="V685" s="28"/>
      <c r="W685" s="28"/>
      <c r="X685" s="28"/>
      <c r="Y685" s="28"/>
      <c r="Z685" s="28"/>
      <c r="AA685" s="28"/>
      <c r="AB685" s="28"/>
      <c r="AC685" s="28"/>
      <c r="AD685" s="28"/>
      <c r="AE685" s="28"/>
      <c r="AF685" s="28"/>
      <c r="AG685" s="28"/>
      <c r="AH685" s="28"/>
      <c r="AI685" s="28"/>
      <c r="AJ685" s="28"/>
      <c r="AK685" s="28"/>
      <c r="AL685" s="28"/>
      <c r="AM685" s="29"/>
      <c r="AN685" s="29"/>
      <c r="AO685" s="29"/>
      <c r="AP685" s="29"/>
      <c r="AQ685" s="29"/>
      <c r="AR685" s="29"/>
      <c r="AS685" s="29"/>
      <c r="AT685" s="29"/>
      <c r="AU685" s="29"/>
      <c r="AV685" s="29"/>
      <c r="AW685" s="29"/>
      <c r="AX685" s="29"/>
      <c r="AY685" s="29"/>
      <c r="AZ685" s="29"/>
      <c r="BA685" s="29"/>
      <c r="BB685" s="29"/>
      <c r="BC685" s="29"/>
      <c r="BD685" s="29"/>
      <c r="BE685" s="29"/>
      <c r="BF685" s="29"/>
      <c r="BG685" s="29"/>
      <c r="BH685" s="29"/>
      <c r="BI685" s="29"/>
      <c r="BJ685" s="29"/>
      <c r="BK685" s="29"/>
      <c r="BL685" s="29"/>
      <c r="BM685" s="29"/>
      <c r="BN685" s="29"/>
      <c r="BO685" s="29"/>
      <c r="BP685" s="29"/>
      <c r="BQ685" s="29"/>
      <c r="BR685" s="29"/>
      <c r="BS685" s="29"/>
      <c r="BT685" s="29"/>
      <c r="BU685" s="29"/>
      <c r="BV685" s="29"/>
      <c r="BW685" s="29"/>
      <c r="BX685" s="29"/>
      <c r="BY685" s="29"/>
      <c r="BZ685" s="29"/>
      <c r="CA685" s="29"/>
      <c r="CB685" s="29"/>
      <c r="CC685" s="29"/>
      <c r="CD685" s="29"/>
      <c r="CE685" s="29"/>
      <c r="CF685" s="29"/>
      <c r="CG685" s="29"/>
      <c r="CH685" s="29"/>
      <c r="CI685" s="29"/>
      <c r="CJ685" s="29"/>
      <c r="CK685" s="29"/>
      <c r="CL685" s="29"/>
      <c r="CM685" s="29"/>
      <c r="CN685" s="29"/>
      <c r="CO685" s="29"/>
      <c r="CP685" s="29"/>
      <c r="CQ685" s="29"/>
      <c r="CR685" s="29"/>
      <c r="CS685" s="29"/>
      <c r="CT685" s="29"/>
      <c r="CU685" s="29"/>
      <c r="CV685" s="29"/>
      <c r="CW685" s="29"/>
      <c r="CX685" s="29"/>
      <c r="CY685" s="29"/>
      <c r="CZ685" s="29"/>
      <c r="DA685" s="29"/>
      <c r="DB685" s="29"/>
      <c r="DC685" s="29"/>
      <c r="DD685" s="29"/>
      <c r="DE685" s="29"/>
      <c r="DF685" s="29"/>
      <c r="DG685" s="29"/>
      <c r="DH685" s="29"/>
      <c r="DI685" s="29"/>
      <c r="DJ685" s="29"/>
    </row>
    <row r="686" spans="1:114" s="38" customFormat="1" ht="15">
      <c r="A686" s="242" t="s">
        <v>483</v>
      </c>
      <c r="B686" s="288" t="s">
        <v>445</v>
      </c>
      <c r="C686" s="288"/>
      <c r="D686" s="288"/>
      <c r="E686" s="288"/>
      <c r="F686" s="288"/>
      <c r="G686" s="288"/>
      <c r="H686" s="288"/>
      <c r="I686" s="288"/>
      <c r="J686" s="37"/>
      <c r="K686" s="27"/>
      <c r="L686" s="27"/>
      <c r="M686" s="27"/>
      <c r="N686" s="27"/>
      <c r="O686" s="27"/>
      <c r="P686" s="27"/>
      <c r="Q686" s="27"/>
      <c r="R686" s="27"/>
      <c r="S686" s="27"/>
      <c r="T686" s="27"/>
      <c r="U686" s="27"/>
      <c r="V686" s="28"/>
      <c r="W686" s="28"/>
      <c r="X686" s="28"/>
      <c r="Y686" s="28"/>
      <c r="Z686" s="28"/>
      <c r="AA686" s="28"/>
      <c r="AB686" s="28"/>
      <c r="AC686" s="28"/>
      <c r="AD686" s="28"/>
      <c r="AE686" s="28"/>
      <c r="AF686" s="28"/>
      <c r="AG686" s="28"/>
      <c r="AH686" s="28"/>
      <c r="AI686" s="28"/>
      <c r="AJ686" s="28"/>
      <c r="AK686" s="28"/>
      <c r="AL686" s="28"/>
      <c r="AM686" s="29"/>
      <c r="AN686" s="29"/>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row>
    <row r="687" spans="1:114" s="38" customFormat="1" ht="15">
      <c r="A687" s="242" t="s">
        <v>444</v>
      </c>
      <c r="B687" s="288" t="s">
        <v>446</v>
      </c>
      <c r="C687" s="288"/>
      <c r="D687" s="288"/>
      <c r="E687" s="288"/>
      <c r="F687" s="288"/>
      <c r="G687" s="288"/>
      <c r="H687" s="288"/>
      <c r="I687" s="288"/>
      <c r="J687" s="37"/>
      <c r="K687" s="27"/>
      <c r="L687" s="27"/>
      <c r="M687" s="27"/>
      <c r="N687" s="27"/>
      <c r="O687" s="27"/>
      <c r="P687" s="27"/>
      <c r="Q687" s="27"/>
      <c r="R687" s="27"/>
      <c r="S687" s="27"/>
      <c r="T687" s="27"/>
      <c r="U687" s="27"/>
      <c r="V687" s="28"/>
      <c r="W687" s="28"/>
      <c r="X687" s="28"/>
      <c r="Y687" s="28"/>
      <c r="Z687" s="28"/>
      <c r="AA687" s="28"/>
      <c r="AB687" s="28"/>
      <c r="AC687" s="28"/>
      <c r="AD687" s="28"/>
      <c r="AE687" s="28"/>
      <c r="AF687" s="28"/>
      <c r="AG687" s="28"/>
      <c r="AH687" s="28"/>
      <c r="AI687" s="28"/>
      <c r="AJ687" s="28"/>
      <c r="AK687" s="28"/>
      <c r="AL687" s="28"/>
      <c r="AM687" s="29"/>
      <c r="AN687" s="29"/>
      <c r="AO687" s="29"/>
      <c r="AP687" s="29"/>
      <c r="AQ687" s="29"/>
      <c r="AR687" s="29"/>
      <c r="AS687" s="29"/>
      <c r="AT687" s="29"/>
      <c r="AU687" s="29"/>
      <c r="AV687" s="29"/>
      <c r="AW687" s="29"/>
      <c r="AX687" s="29"/>
      <c r="AY687" s="29"/>
      <c r="AZ687" s="29"/>
      <c r="BA687" s="29"/>
      <c r="BB687" s="29"/>
      <c r="BC687" s="29"/>
      <c r="BD687" s="29"/>
      <c r="BE687" s="29"/>
      <c r="BF687" s="29"/>
      <c r="BG687" s="29"/>
      <c r="BH687" s="29"/>
      <c r="BI687" s="29"/>
      <c r="BJ687" s="29"/>
      <c r="BK687" s="29"/>
      <c r="BL687" s="29"/>
      <c r="BM687" s="29"/>
      <c r="BN687" s="29"/>
      <c r="BO687" s="29"/>
      <c r="BP687" s="29"/>
      <c r="BQ687" s="29"/>
      <c r="BR687" s="29"/>
      <c r="BS687" s="29"/>
      <c r="BT687" s="29"/>
      <c r="BU687" s="29"/>
      <c r="BV687" s="29"/>
      <c r="BW687" s="29"/>
      <c r="BX687" s="29"/>
      <c r="BY687" s="29"/>
      <c r="BZ687" s="29"/>
      <c r="CA687" s="29"/>
      <c r="CB687" s="29"/>
      <c r="CC687" s="29"/>
      <c r="CD687" s="29"/>
      <c r="CE687" s="29"/>
      <c r="CF687" s="29"/>
      <c r="CG687" s="29"/>
      <c r="CH687" s="29"/>
      <c r="CI687" s="29"/>
      <c r="CJ687" s="29"/>
      <c r="CK687" s="29"/>
      <c r="CL687" s="29"/>
      <c r="CM687" s="29"/>
      <c r="CN687" s="29"/>
      <c r="CO687" s="29"/>
      <c r="CP687" s="29"/>
      <c r="CQ687" s="29"/>
      <c r="CR687" s="29"/>
      <c r="CS687" s="29"/>
      <c r="CT687" s="29"/>
      <c r="CU687" s="29"/>
      <c r="CV687" s="29"/>
      <c r="CW687" s="29"/>
      <c r="CX687" s="29"/>
      <c r="CY687" s="29"/>
      <c r="CZ687" s="29"/>
      <c r="DA687" s="29"/>
      <c r="DB687" s="29"/>
      <c r="DC687" s="29"/>
      <c r="DD687" s="29"/>
      <c r="DE687" s="29"/>
      <c r="DF687" s="29"/>
      <c r="DG687" s="29"/>
      <c r="DH687" s="29"/>
      <c r="DI687" s="29"/>
      <c r="DJ687" s="29"/>
    </row>
    <row r="688" spans="1:114" s="38" customFormat="1" ht="27.75" customHeight="1">
      <c r="A688" s="242" t="s">
        <v>430</v>
      </c>
      <c r="B688" s="288" t="s">
        <v>660</v>
      </c>
      <c r="C688" s="288"/>
      <c r="D688" s="288"/>
      <c r="E688" s="288"/>
      <c r="F688" s="288"/>
      <c r="G688" s="288"/>
      <c r="H688" s="288"/>
      <c r="I688" s="288"/>
      <c r="J688" s="37"/>
      <c r="K688" s="27"/>
      <c r="L688" s="27"/>
      <c r="M688" s="27"/>
      <c r="N688" s="27"/>
      <c r="O688" s="27"/>
      <c r="P688" s="27"/>
      <c r="Q688" s="27"/>
      <c r="R688" s="27"/>
      <c r="S688" s="27"/>
      <c r="T688" s="27"/>
      <c r="U688" s="27"/>
      <c r="V688" s="28"/>
      <c r="W688" s="28"/>
      <c r="X688" s="28"/>
      <c r="Y688" s="28"/>
      <c r="Z688" s="28"/>
      <c r="AA688" s="28"/>
      <c r="AB688" s="28"/>
      <c r="AC688" s="28"/>
      <c r="AD688" s="28"/>
      <c r="AE688" s="28"/>
      <c r="AF688" s="28"/>
      <c r="AG688" s="28"/>
      <c r="AH688" s="28"/>
      <c r="AI688" s="28"/>
      <c r="AJ688" s="28"/>
      <c r="AK688" s="28"/>
      <c r="AL688" s="28"/>
      <c r="AM688" s="29"/>
      <c r="AN688" s="29"/>
      <c r="AO688" s="29"/>
      <c r="AP688" s="29"/>
      <c r="AQ688" s="29"/>
      <c r="AR688" s="29"/>
      <c r="AS688" s="29"/>
      <c r="AT688" s="29"/>
      <c r="AU688" s="29"/>
      <c r="AV688" s="29"/>
      <c r="AW688" s="29"/>
      <c r="AX688" s="29"/>
      <c r="AY688" s="29"/>
      <c r="AZ688" s="29"/>
      <c r="BA688" s="29"/>
      <c r="BB688" s="29"/>
      <c r="BC688" s="29"/>
      <c r="BD688" s="29"/>
      <c r="BE688" s="29"/>
      <c r="BF688" s="29"/>
      <c r="BG688" s="29"/>
      <c r="BH688" s="29"/>
      <c r="BI688" s="29"/>
      <c r="BJ688" s="29"/>
      <c r="BK688" s="29"/>
      <c r="BL688" s="29"/>
      <c r="BM688" s="29"/>
      <c r="BN688" s="29"/>
      <c r="BO688" s="29"/>
      <c r="BP688" s="29"/>
      <c r="BQ688" s="29"/>
      <c r="BR688" s="29"/>
      <c r="BS688" s="29"/>
      <c r="BT688" s="29"/>
      <c r="BU688" s="29"/>
      <c r="BV688" s="29"/>
      <c r="BW688" s="29"/>
      <c r="BX688" s="29"/>
      <c r="BY688" s="29"/>
      <c r="BZ688" s="29"/>
      <c r="CA688" s="29"/>
      <c r="CB688" s="29"/>
      <c r="CC688" s="29"/>
      <c r="CD688" s="29"/>
      <c r="CE688" s="29"/>
      <c r="CF688" s="29"/>
      <c r="CG688" s="29"/>
      <c r="CH688" s="29"/>
      <c r="CI688" s="29"/>
      <c r="CJ688" s="29"/>
      <c r="CK688" s="29"/>
      <c r="CL688" s="29"/>
      <c r="CM688" s="29"/>
      <c r="CN688" s="29"/>
      <c r="CO688" s="29"/>
      <c r="CP688" s="29"/>
      <c r="CQ688" s="29"/>
      <c r="CR688" s="29"/>
      <c r="CS688" s="29"/>
      <c r="CT688" s="29"/>
      <c r="CU688" s="29"/>
      <c r="CV688" s="29"/>
      <c r="CW688" s="29"/>
      <c r="CX688" s="29"/>
      <c r="CY688" s="29"/>
      <c r="CZ688" s="29"/>
      <c r="DA688" s="29"/>
      <c r="DB688" s="29"/>
      <c r="DC688" s="29"/>
      <c r="DD688" s="29"/>
      <c r="DE688" s="29"/>
      <c r="DF688" s="29"/>
      <c r="DG688" s="29"/>
      <c r="DH688" s="29"/>
      <c r="DI688" s="29"/>
      <c r="DJ688" s="29"/>
    </row>
    <row r="689" spans="1:114" s="38" customFormat="1" ht="15">
      <c r="A689" s="242" t="s">
        <v>355</v>
      </c>
      <c r="B689" s="288" t="s">
        <v>356</v>
      </c>
      <c r="C689" s="288"/>
      <c r="D689" s="288"/>
      <c r="E689" s="288"/>
      <c r="F689" s="288"/>
      <c r="G689" s="288"/>
      <c r="H689" s="288"/>
      <c r="I689" s="288"/>
      <c r="J689" s="37"/>
      <c r="K689" s="27"/>
      <c r="L689" s="27"/>
      <c r="M689" s="27"/>
      <c r="N689" s="27"/>
      <c r="O689" s="27"/>
      <c r="P689" s="27"/>
      <c r="Q689" s="27"/>
      <c r="R689" s="27"/>
      <c r="S689" s="27"/>
      <c r="T689" s="27"/>
      <c r="U689" s="27"/>
      <c r="V689" s="28"/>
      <c r="W689" s="28"/>
      <c r="X689" s="28"/>
      <c r="Y689" s="28"/>
      <c r="Z689" s="28"/>
      <c r="AA689" s="28"/>
      <c r="AB689" s="28"/>
      <c r="AC689" s="28"/>
      <c r="AD689" s="28"/>
      <c r="AE689" s="28"/>
      <c r="AF689" s="28"/>
      <c r="AG689" s="28"/>
      <c r="AH689" s="28"/>
      <c r="AI689" s="28"/>
      <c r="AJ689" s="28"/>
      <c r="AK689" s="28"/>
      <c r="AL689" s="28"/>
      <c r="AM689" s="29"/>
      <c r="AN689" s="29"/>
      <c r="AO689" s="29"/>
      <c r="AP689" s="29"/>
      <c r="AQ689" s="29"/>
      <c r="AR689" s="29"/>
      <c r="AS689" s="29"/>
      <c r="AT689" s="29"/>
      <c r="AU689" s="29"/>
      <c r="AV689" s="29"/>
      <c r="AW689" s="29"/>
      <c r="AX689" s="29"/>
      <c r="AY689" s="29"/>
      <c r="AZ689" s="29"/>
      <c r="BA689" s="29"/>
      <c r="BB689" s="29"/>
      <c r="BC689" s="29"/>
      <c r="BD689" s="29"/>
      <c r="BE689" s="29"/>
      <c r="BF689" s="29"/>
      <c r="BG689" s="29"/>
      <c r="BH689" s="29"/>
      <c r="BI689" s="29"/>
      <c r="BJ689" s="29"/>
      <c r="BK689" s="29"/>
      <c r="BL689" s="29"/>
      <c r="BM689" s="29"/>
      <c r="BN689" s="29"/>
      <c r="BO689" s="29"/>
      <c r="BP689" s="29"/>
      <c r="BQ689" s="29"/>
      <c r="BR689" s="29"/>
      <c r="BS689" s="29"/>
      <c r="BT689" s="29"/>
      <c r="BU689" s="29"/>
      <c r="BV689" s="29"/>
      <c r="BW689" s="29"/>
      <c r="BX689" s="29"/>
      <c r="BY689" s="29"/>
      <c r="BZ689" s="29"/>
      <c r="CA689" s="29"/>
      <c r="CB689" s="29"/>
      <c r="CC689" s="29"/>
      <c r="CD689" s="29"/>
      <c r="CE689" s="29"/>
      <c r="CF689" s="29"/>
      <c r="CG689" s="29"/>
      <c r="CH689" s="29"/>
      <c r="CI689" s="29"/>
      <c r="CJ689" s="29"/>
      <c r="CK689" s="29"/>
      <c r="CL689" s="29"/>
      <c r="CM689" s="29"/>
      <c r="CN689" s="29"/>
      <c r="CO689" s="29"/>
      <c r="CP689" s="29"/>
      <c r="CQ689" s="29"/>
      <c r="CR689" s="29"/>
      <c r="CS689" s="29"/>
      <c r="CT689" s="29"/>
      <c r="CU689" s="29"/>
      <c r="CV689" s="29"/>
      <c r="CW689" s="29"/>
      <c r="CX689" s="29"/>
      <c r="CY689" s="29"/>
      <c r="CZ689" s="29"/>
      <c r="DA689" s="29"/>
      <c r="DB689" s="29"/>
      <c r="DC689" s="29"/>
      <c r="DD689" s="29"/>
      <c r="DE689" s="29"/>
      <c r="DF689" s="29"/>
      <c r="DG689" s="29"/>
      <c r="DH689" s="29"/>
      <c r="DI689" s="29"/>
      <c r="DJ689" s="29"/>
    </row>
    <row r="690" spans="1:114" s="38" customFormat="1" ht="15">
      <c r="A690" s="242"/>
      <c r="B690" s="288" t="s">
        <v>357</v>
      </c>
      <c r="C690" s="288"/>
      <c r="D690" s="288"/>
      <c r="E690" s="288"/>
      <c r="F690" s="288"/>
      <c r="G690" s="288"/>
      <c r="H690" s="288"/>
      <c r="I690" s="288"/>
      <c r="J690" s="37"/>
      <c r="K690" s="27"/>
      <c r="L690" s="27"/>
      <c r="M690" s="27"/>
      <c r="N690" s="27"/>
      <c r="O690" s="27"/>
      <c r="P690" s="27"/>
      <c r="Q690" s="27"/>
      <c r="R690" s="27"/>
      <c r="S690" s="27"/>
      <c r="T690" s="27"/>
      <c r="U690" s="27"/>
      <c r="V690" s="28"/>
      <c r="W690" s="28"/>
      <c r="X690" s="28"/>
      <c r="Y690" s="28"/>
      <c r="Z690" s="28"/>
      <c r="AA690" s="28"/>
      <c r="AB690" s="28"/>
      <c r="AC690" s="28"/>
      <c r="AD690" s="28"/>
      <c r="AE690" s="28"/>
      <c r="AF690" s="28"/>
      <c r="AG690" s="28"/>
      <c r="AH690" s="28"/>
      <c r="AI690" s="28"/>
      <c r="AJ690" s="28"/>
      <c r="AK690" s="28"/>
      <c r="AL690" s="28"/>
      <c r="AM690" s="29"/>
      <c r="AN690" s="29"/>
      <c r="AO690" s="29"/>
      <c r="AP690" s="29"/>
      <c r="AQ690" s="29"/>
      <c r="AR690" s="29"/>
      <c r="AS690" s="29"/>
      <c r="AT690" s="29"/>
      <c r="AU690" s="29"/>
      <c r="AV690" s="29"/>
      <c r="AW690" s="29"/>
      <c r="AX690" s="29"/>
      <c r="AY690" s="29"/>
      <c r="AZ690" s="29"/>
      <c r="BA690" s="29"/>
      <c r="BB690" s="29"/>
      <c r="BC690" s="29"/>
      <c r="BD690" s="29"/>
      <c r="BE690" s="29"/>
      <c r="BF690" s="29"/>
      <c r="BG690" s="29"/>
      <c r="BH690" s="29"/>
      <c r="BI690" s="29"/>
      <c r="BJ690" s="29"/>
      <c r="BK690" s="29"/>
      <c r="BL690" s="29"/>
      <c r="BM690" s="29"/>
      <c r="BN690" s="29"/>
      <c r="BO690" s="29"/>
      <c r="BP690" s="29"/>
      <c r="BQ690" s="29"/>
      <c r="BR690" s="29"/>
      <c r="BS690" s="29"/>
      <c r="BT690" s="29"/>
      <c r="BU690" s="29"/>
      <c r="BV690" s="29"/>
      <c r="BW690" s="29"/>
      <c r="BX690" s="29"/>
      <c r="BY690" s="29"/>
      <c r="BZ690" s="29"/>
      <c r="CA690" s="29"/>
      <c r="CB690" s="29"/>
      <c r="CC690" s="29"/>
      <c r="CD690" s="29"/>
      <c r="CE690" s="29"/>
      <c r="CF690" s="29"/>
      <c r="CG690" s="29"/>
      <c r="CH690" s="29"/>
      <c r="CI690" s="29"/>
      <c r="CJ690" s="29"/>
      <c r="CK690" s="29"/>
      <c r="CL690" s="29"/>
      <c r="CM690" s="29"/>
      <c r="CN690" s="29"/>
      <c r="CO690" s="29"/>
      <c r="CP690" s="29"/>
      <c r="CQ690" s="29"/>
      <c r="CR690" s="29"/>
      <c r="CS690" s="29"/>
      <c r="CT690" s="29"/>
      <c r="CU690" s="29"/>
      <c r="CV690" s="29"/>
      <c r="CW690" s="29"/>
      <c r="CX690" s="29"/>
      <c r="CY690" s="29"/>
      <c r="CZ690" s="29"/>
      <c r="DA690" s="29"/>
      <c r="DB690" s="29"/>
      <c r="DC690" s="29"/>
      <c r="DD690" s="29"/>
      <c r="DE690" s="29"/>
      <c r="DF690" s="29"/>
      <c r="DG690" s="29"/>
      <c r="DH690" s="29"/>
      <c r="DI690" s="29"/>
      <c r="DJ690" s="29"/>
    </row>
    <row r="691" spans="1:114" s="38" customFormat="1" ht="15">
      <c r="A691" s="242" t="s">
        <v>234</v>
      </c>
      <c r="B691" s="288" t="s">
        <v>236</v>
      </c>
      <c r="C691" s="288"/>
      <c r="D691" s="288"/>
      <c r="E691" s="288"/>
      <c r="F691" s="288"/>
      <c r="G691" s="288"/>
      <c r="H691" s="288"/>
      <c r="I691" s="288"/>
      <c r="J691" s="37"/>
      <c r="K691" s="27"/>
      <c r="L691" s="27"/>
      <c r="M691" s="27"/>
      <c r="N691" s="27"/>
      <c r="O691" s="27"/>
      <c r="P691" s="27"/>
      <c r="Q691" s="27"/>
      <c r="R691" s="27"/>
      <c r="S691" s="27"/>
      <c r="T691" s="27"/>
      <c r="U691" s="27"/>
      <c r="V691" s="28"/>
      <c r="W691" s="28"/>
      <c r="X691" s="28"/>
      <c r="Y691" s="28"/>
      <c r="Z691" s="28"/>
      <c r="AA691" s="28"/>
      <c r="AB691" s="28"/>
      <c r="AC691" s="28"/>
      <c r="AD691" s="28"/>
      <c r="AE691" s="28"/>
      <c r="AF691" s="28"/>
      <c r="AG691" s="28"/>
      <c r="AH691" s="28"/>
      <c r="AI691" s="28"/>
      <c r="AJ691" s="28"/>
      <c r="AK691" s="28"/>
      <c r="AL691" s="28"/>
      <c r="AM691" s="29"/>
      <c r="AN691" s="29"/>
      <c r="AO691" s="29"/>
      <c r="AP691" s="29"/>
      <c r="AQ691" s="29"/>
      <c r="AR691" s="29"/>
      <c r="AS691" s="29"/>
      <c r="AT691" s="29"/>
      <c r="AU691" s="29"/>
      <c r="AV691" s="29"/>
      <c r="AW691" s="29"/>
      <c r="AX691" s="29"/>
      <c r="AY691" s="29"/>
      <c r="AZ691" s="29"/>
      <c r="BA691" s="29"/>
      <c r="BB691" s="29"/>
      <c r="BC691" s="29"/>
      <c r="BD691" s="29"/>
      <c r="BE691" s="29"/>
      <c r="BF691" s="29"/>
      <c r="BG691" s="29"/>
      <c r="BH691" s="29"/>
      <c r="BI691" s="29"/>
      <c r="BJ691" s="29"/>
      <c r="BK691" s="29"/>
      <c r="BL691" s="29"/>
      <c r="BM691" s="29"/>
      <c r="BN691" s="29"/>
      <c r="BO691" s="29"/>
      <c r="BP691" s="29"/>
      <c r="BQ691" s="29"/>
      <c r="BR691" s="29"/>
      <c r="BS691" s="29"/>
      <c r="BT691" s="29"/>
      <c r="BU691" s="29"/>
      <c r="BV691" s="29"/>
      <c r="BW691" s="29"/>
      <c r="BX691" s="29"/>
      <c r="BY691" s="29"/>
      <c r="BZ691" s="29"/>
      <c r="CA691" s="29"/>
      <c r="CB691" s="29"/>
      <c r="CC691" s="29"/>
      <c r="CD691" s="29"/>
      <c r="CE691" s="29"/>
      <c r="CF691" s="29"/>
      <c r="CG691" s="29"/>
      <c r="CH691" s="29"/>
      <c r="CI691" s="29"/>
      <c r="CJ691" s="29"/>
      <c r="CK691" s="29"/>
      <c r="CL691" s="29"/>
      <c r="CM691" s="29"/>
      <c r="CN691" s="29"/>
      <c r="CO691" s="29"/>
      <c r="CP691" s="29"/>
      <c r="CQ691" s="29"/>
      <c r="CR691" s="29"/>
      <c r="CS691" s="29"/>
      <c r="CT691" s="29"/>
      <c r="CU691" s="29"/>
      <c r="CV691" s="29"/>
      <c r="CW691" s="29"/>
      <c r="CX691" s="29"/>
      <c r="CY691" s="29"/>
      <c r="CZ691" s="29"/>
      <c r="DA691" s="29"/>
      <c r="DB691" s="29"/>
      <c r="DC691" s="29"/>
      <c r="DD691" s="29"/>
      <c r="DE691" s="29"/>
      <c r="DF691" s="29"/>
      <c r="DG691" s="29"/>
      <c r="DH691" s="29"/>
      <c r="DI691" s="29"/>
      <c r="DJ691" s="29"/>
    </row>
    <row r="692" spans="1:114" s="38" customFormat="1" ht="15">
      <c r="A692" s="242" t="s">
        <v>235</v>
      </c>
      <c r="B692" s="288" t="s">
        <v>237</v>
      </c>
      <c r="C692" s="288"/>
      <c r="D692" s="288"/>
      <c r="E692" s="288"/>
      <c r="F692" s="288"/>
      <c r="G692" s="288"/>
      <c r="H692" s="288"/>
      <c r="I692" s="288"/>
      <c r="J692" s="37"/>
      <c r="K692" s="27"/>
      <c r="L692" s="27"/>
      <c r="M692" s="27"/>
      <c r="N692" s="27"/>
      <c r="O692" s="27"/>
      <c r="P692" s="27"/>
      <c r="Q692" s="27"/>
      <c r="R692" s="27"/>
      <c r="S692" s="27"/>
      <c r="T692" s="27"/>
      <c r="U692" s="27"/>
      <c r="V692" s="28"/>
      <c r="W692" s="28"/>
      <c r="X692" s="28"/>
      <c r="Y692" s="28"/>
      <c r="Z692" s="28"/>
      <c r="AA692" s="28"/>
      <c r="AB692" s="28"/>
      <c r="AC692" s="28"/>
      <c r="AD692" s="28"/>
      <c r="AE692" s="28"/>
      <c r="AF692" s="28"/>
      <c r="AG692" s="28"/>
      <c r="AH692" s="28"/>
      <c r="AI692" s="28"/>
      <c r="AJ692" s="28"/>
      <c r="AK692" s="28"/>
      <c r="AL692" s="28"/>
      <c r="AM692" s="29"/>
      <c r="AN692" s="29"/>
      <c r="AO692" s="29"/>
      <c r="AP692" s="29"/>
      <c r="AQ692" s="29"/>
      <c r="AR692" s="29"/>
      <c r="AS692" s="29"/>
      <c r="AT692" s="29"/>
      <c r="AU692" s="29"/>
      <c r="AV692" s="29"/>
      <c r="AW692" s="29"/>
      <c r="AX692" s="29"/>
      <c r="AY692" s="29"/>
      <c r="AZ692" s="29"/>
      <c r="BA692" s="29"/>
      <c r="BB692" s="29"/>
      <c r="BC692" s="29"/>
      <c r="BD692" s="29"/>
      <c r="BE692" s="29"/>
      <c r="BF692" s="29"/>
      <c r="BG692" s="29"/>
      <c r="BH692" s="29"/>
      <c r="BI692" s="29"/>
      <c r="BJ692" s="29"/>
      <c r="BK692" s="29"/>
      <c r="BL692" s="29"/>
      <c r="BM692" s="29"/>
      <c r="BN692" s="29"/>
      <c r="BO692" s="29"/>
      <c r="BP692" s="29"/>
      <c r="BQ692" s="29"/>
      <c r="BR692" s="29"/>
      <c r="BS692" s="29"/>
      <c r="BT692" s="29"/>
      <c r="BU692" s="29"/>
      <c r="BV692" s="29"/>
      <c r="BW692" s="29"/>
      <c r="BX692" s="29"/>
      <c r="BY692" s="29"/>
      <c r="BZ692" s="29"/>
      <c r="CA692" s="29"/>
      <c r="CB692" s="29"/>
      <c r="CC692" s="29"/>
      <c r="CD692" s="29"/>
      <c r="CE692" s="29"/>
      <c r="CF692" s="29"/>
      <c r="CG692" s="29"/>
      <c r="CH692" s="29"/>
      <c r="CI692" s="29"/>
      <c r="CJ692" s="29"/>
      <c r="CK692" s="29"/>
      <c r="CL692" s="29"/>
      <c r="CM692" s="29"/>
      <c r="CN692" s="29"/>
      <c r="CO692" s="29"/>
      <c r="CP692" s="29"/>
      <c r="CQ692" s="29"/>
      <c r="CR692" s="29"/>
      <c r="CS692" s="29"/>
      <c r="CT692" s="29"/>
      <c r="CU692" s="29"/>
      <c r="CV692" s="29"/>
      <c r="CW692" s="29"/>
      <c r="CX692" s="29"/>
      <c r="CY692" s="29"/>
      <c r="CZ692" s="29"/>
      <c r="DA692" s="29"/>
      <c r="DB692" s="29"/>
      <c r="DC692" s="29"/>
      <c r="DD692" s="29"/>
      <c r="DE692" s="29"/>
      <c r="DF692" s="29"/>
      <c r="DG692" s="29"/>
      <c r="DH692" s="29"/>
      <c r="DI692" s="29"/>
      <c r="DJ692" s="29"/>
    </row>
    <row r="693" spans="1:114" s="38" customFormat="1" ht="15">
      <c r="A693" s="242" t="s">
        <v>251</v>
      </c>
      <c r="B693" s="288" t="s">
        <v>252</v>
      </c>
      <c r="C693" s="288"/>
      <c r="D693" s="288"/>
      <c r="E693" s="288"/>
      <c r="F693" s="288"/>
      <c r="G693" s="288"/>
      <c r="H693" s="288"/>
      <c r="I693" s="288"/>
      <c r="J693" s="37"/>
      <c r="K693" s="27"/>
      <c r="L693" s="27"/>
      <c r="M693" s="27"/>
      <c r="N693" s="27"/>
      <c r="O693" s="27"/>
      <c r="P693" s="27"/>
      <c r="Q693" s="27"/>
      <c r="R693" s="27"/>
      <c r="S693" s="27"/>
      <c r="T693" s="27"/>
      <c r="U693" s="27"/>
      <c r="V693" s="28"/>
      <c r="W693" s="28"/>
      <c r="X693" s="28"/>
      <c r="Y693" s="28"/>
      <c r="Z693" s="28"/>
      <c r="AA693" s="28"/>
      <c r="AB693" s="28"/>
      <c r="AC693" s="28"/>
      <c r="AD693" s="28"/>
      <c r="AE693" s="28"/>
      <c r="AF693" s="28"/>
      <c r="AG693" s="28"/>
      <c r="AH693" s="28"/>
      <c r="AI693" s="28"/>
      <c r="AJ693" s="28"/>
      <c r="AK693" s="28"/>
      <c r="AL693" s="28"/>
      <c r="AM693" s="29"/>
      <c r="AN693" s="29"/>
      <c r="AO693" s="29"/>
      <c r="AP693" s="29"/>
      <c r="AQ693" s="29"/>
      <c r="AR693" s="29"/>
      <c r="AS693" s="29"/>
      <c r="AT693" s="29"/>
      <c r="AU693" s="29"/>
      <c r="AV693" s="29"/>
      <c r="AW693" s="29"/>
      <c r="AX693" s="29"/>
      <c r="AY693" s="29"/>
      <c r="AZ693" s="29"/>
      <c r="BA693" s="29"/>
      <c r="BB693" s="29"/>
      <c r="BC693" s="29"/>
      <c r="BD693" s="29"/>
      <c r="BE693" s="29"/>
      <c r="BF693" s="29"/>
      <c r="BG693" s="29"/>
      <c r="BH693" s="29"/>
      <c r="BI693" s="29"/>
      <c r="BJ693" s="29"/>
      <c r="BK693" s="29"/>
      <c r="BL693" s="29"/>
      <c r="BM693" s="29"/>
      <c r="BN693" s="29"/>
      <c r="BO693" s="29"/>
      <c r="BP693" s="29"/>
      <c r="BQ693" s="29"/>
      <c r="BR693" s="29"/>
      <c r="BS693" s="29"/>
      <c r="BT693" s="29"/>
      <c r="BU693" s="29"/>
      <c r="BV693" s="29"/>
      <c r="BW693" s="29"/>
      <c r="BX693" s="29"/>
      <c r="BY693" s="29"/>
      <c r="BZ693" s="29"/>
      <c r="CA693" s="29"/>
      <c r="CB693" s="29"/>
      <c r="CC693" s="29"/>
      <c r="CD693" s="29"/>
      <c r="CE693" s="29"/>
      <c r="CF693" s="29"/>
      <c r="CG693" s="29"/>
      <c r="CH693" s="29"/>
      <c r="CI693" s="29"/>
      <c r="CJ693" s="29"/>
      <c r="CK693" s="29"/>
      <c r="CL693" s="29"/>
      <c r="CM693" s="29"/>
      <c r="CN693" s="29"/>
      <c r="CO693" s="29"/>
      <c r="CP693" s="29"/>
      <c r="CQ693" s="29"/>
      <c r="CR693" s="29"/>
      <c r="CS693" s="29"/>
      <c r="CT693" s="29"/>
      <c r="CU693" s="29"/>
      <c r="CV693" s="29"/>
      <c r="CW693" s="29"/>
      <c r="CX693" s="29"/>
      <c r="CY693" s="29"/>
      <c r="CZ693" s="29"/>
      <c r="DA693" s="29"/>
      <c r="DB693" s="29"/>
      <c r="DC693" s="29"/>
      <c r="DD693" s="29"/>
      <c r="DE693" s="29"/>
      <c r="DF693" s="29"/>
      <c r="DG693" s="29"/>
      <c r="DH693" s="29"/>
      <c r="DI693" s="29"/>
      <c r="DJ693" s="29"/>
    </row>
    <row r="694" spans="1:114" s="38" customFormat="1" ht="15">
      <c r="A694" s="242" t="s">
        <v>319</v>
      </c>
      <c r="B694" s="288" t="s">
        <v>320</v>
      </c>
      <c r="C694" s="288"/>
      <c r="D694" s="288"/>
      <c r="E694" s="288"/>
      <c r="F694" s="288"/>
      <c r="G694" s="288"/>
      <c r="H694" s="288"/>
      <c r="I694" s="288"/>
      <c r="J694" s="37"/>
      <c r="K694" s="27"/>
      <c r="L694" s="27"/>
      <c r="M694" s="27"/>
      <c r="N694" s="27"/>
      <c r="O694" s="27"/>
      <c r="P694" s="27"/>
      <c r="Q694" s="27"/>
      <c r="R694" s="27"/>
      <c r="S694" s="27"/>
      <c r="T694" s="27"/>
      <c r="U694" s="27"/>
      <c r="V694" s="28"/>
      <c r="W694" s="28"/>
      <c r="X694" s="28"/>
      <c r="Y694" s="28"/>
      <c r="Z694" s="28"/>
      <c r="AA694" s="28"/>
      <c r="AB694" s="28"/>
      <c r="AC694" s="28"/>
      <c r="AD694" s="28"/>
      <c r="AE694" s="28"/>
      <c r="AF694" s="28"/>
      <c r="AG694" s="28"/>
      <c r="AH694" s="28"/>
      <c r="AI694" s="28"/>
      <c r="AJ694" s="28"/>
      <c r="AK694" s="28"/>
      <c r="AL694" s="28"/>
      <c r="AM694" s="29"/>
      <c r="AN694" s="29"/>
      <c r="AO694" s="29"/>
      <c r="AP694" s="29"/>
      <c r="AQ694" s="29"/>
      <c r="AR694" s="29"/>
      <c r="AS694" s="29"/>
      <c r="AT694" s="29"/>
      <c r="AU694" s="29"/>
      <c r="AV694" s="29"/>
      <c r="AW694" s="29"/>
      <c r="AX694" s="29"/>
      <c r="AY694" s="29"/>
      <c r="AZ694" s="29"/>
      <c r="BA694" s="29"/>
      <c r="BB694" s="29"/>
      <c r="BC694" s="29"/>
      <c r="BD694" s="29"/>
      <c r="BE694" s="29"/>
      <c r="BF694" s="29"/>
      <c r="BG694" s="29"/>
      <c r="BH694" s="29"/>
      <c r="BI694" s="29"/>
      <c r="BJ694" s="29"/>
      <c r="BK694" s="29"/>
      <c r="BL694" s="29"/>
      <c r="BM694" s="29"/>
      <c r="BN694" s="29"/>
      <c r="BO694" s="29"/>
      <c r="BP694" s="29"/>
      <c r="BQ694" s="29"/>
      <c r="BR694" s="29"/>
      <c r="BS694" s="29"/>
      <c r="BT694" s="29"/>
      <c r="BU694" s="29"/>
      <c r="BV694" s="29"/>
      <c r="BW694" s="29"/>
      <c r="BX694" s="29"/>
      <c r="BY694" s="29"/>
      <c r="BZ694" s="29"/>
      <c r="CA694" s="29"/>
      <c r="CB694" s="29"/>
      <c r="CC694" s="29"/>
      <c r="CD694" s="29"/>
      <c r="CE694" s="29"/>
      <c r="CF694" s="29"/>
      <c r="CG694" s="29"/>
      <c r="CH694" s="29"/>
      <c r="CI694" s="29"/>
      <c r="CJ694" s="29"/>
      <c r="CK694" s="29"/>
      <c r="CL694" s="29"/>
      <c r="CM694" s="29"/>
      <c r="CN694" s="29"/>
      <c r="CO694" s="29"/>
      <c r="CP694" s="29"/>
      <c r="CQ694" s="29"/>
      <c r="CR694" s="29"/>
      <c r="CS694" s="29"/>
      <c r="CT694" s="29"/>
      <c r="CU694" s="29"/>
      <c r="CV694" s="29"/>
      <c r="CW694" s="29"/>
      <c r="CX694" s="29"/>
      <c r="CY694" s="29"/>
      <c r="CZ694" s="29"/>
      <c r="DA694" s="29"/>
      <c r="DB694" s="29"/>
      <c r="DC694" s="29"/>
      <c r="DD694" s="29"/>
      <c r="DE694" s="29"/>
      <c r="DF694" s="29"/>
      <c r="DG694" s="29"/>
      <c r="DH694" s="29"/>
      <c r="DI694" s="29"/>
      <c r="DJ694" s="29"/>
    </row>
    <row r="695" spans="1:114" s="38" customFormat="1" ht="14.25" customHeight="1">
      <c r="A695" s="242"/>
      <c r="B695" s="288" t="s">
        <v>315</v>
      </c>
      <c r="C695" s="288"/>
      <c r="D695" s="288"/>
      <c r="E695" s="288"/>
      <c r="F695" s="288"/>
      <c r="G695" s="288"/>
      <c r="H695" s="288"/>
      <c r="I695" s="288"/>
      <c r="J695" s="37"/>
      <c r="K695" s="27"/>
      <c r="L695" s="27"/>
      <c r="M695" s="27"/>
      <c r="N695" s="27"/>
      <c r="O695" s="27"/>
      <c r="P695" s="27"/>
      <c r="Q695" s="27"/>
      <c r="R695" s="27"/>
      <c r="S695" s="27"/>
      <c r="T695" s="27"/>
      <c r="U695" s="27"/>
      <c r="V695" s="28"/>
      <c r="W695" s="28"/>
      <c r="X695" s="28"/>
      <c r="Y695" s="28"/>
      <c r="Z695" s="28"/>
      <c r="AA695" s="28"/>
      <c r="AB695" s="28"/>
      <c r="AC695" s="28"/>
      <c r="AD695" s="28"/>
      <c r="AE695" s="28"/>
      <c r="AF695" s="28"/>
      <c r="AG695" s="28"/>
      <c r="AH695" s="28"/>
      <c r="AI695" s="28"/>
      <c r="AJ695" s="28"/>
      <c r="AK695" s="28"/>
      <c r="AL695" s="28"/>
      <c r="AM695" s="29"/>
      <c r="AN695" s="29"/>
      <c r="AO695" s="29"/>
      <c r="AP695" s="29"/>
      <c r="AQ695" s="29"/>
      <c r="AR695" s="29"/>
      <c r="AS695" s="29"/>
      <c r="AT695" s="29"/>
      <c r="AU695" s="29"/>
      <c r="AV695" s="29"/>
      <c r="AW695" s="29"/>
      <c r="AX695" s="29"/>
      <c r="AY695" s="29"/>
      <c r="AZ695" s="29"/>
      <c r="BA695" s="29"/>
      <c r="BB695" s="29"/>
      <c r="BC695" s="29"/>
      <c r="BD695" s="29"/>
      <c r="BE695" s="29"/>
      <c r="BF695" s="29"/>
      <c r="BG695" s="29"/>
      <c r="BH695" s="29"/>
      <c r="BI695" s="29"/>
      <c r="BJ695" s="29"/>
      <c r="BK695" s="29"/>
      <c r="BL695" s="29"/>
      <c r="BM695" s="29"/>
      <c r="BN695" s="29"/>
      <c r="BO695" s="29"/>
      <c r="BP695" s="29"/>
      <c r="BQ695" s="29"/>
      <c r="BR695" s="29"/>
      <c r="BS695" s="29"/>
      <c r="BT695" s="29"/>
      <c r="BU695" s="29"/>
      <c r="BV695" s="29"/>
      <c r="BW695" s="29"/>
      <c r="BX695" s="29"/>
      <c r="BY695" s="29"/>
      <c r="BZ695" s="29"/>
      <c r="CA695" s="29"/>
      <c r="CB695" s="29"/>
      <c r="CC695" s="29"/>
      <c r="CD695" s="29"/>
      <c r="CE695" s="29"/>
      <c r="CF695" s="29"/>
      <c r="CG695" s="29"/>
      <c r="CH695" s="29"/>
      <c r="CI695" s="29"/>
      <c r="CJ695" s="29"/>
      <c r="CK695" s="29"/>
      <c r="CL695" s="29"/>
      <c r="CM695" s="29"/>
      <c r="CN695" s="29"/>
      <c r="CO695" s="29"/>
      <c r="CP695" s="29"/>
      <c r="CQ695" s="29"/>
      <c r="CR695" s="29"/>
      <c r="CS695" s="29"/>
      <c r="CT695" s="29"/>
      <c r="CU695" s="29"/>
      <c r="CV695" s="29"/>
      <c r="CW695" s="29"/>
      <c r="CX695" s="29"/>
      <c r="CY695" s="29"/>
      <c r="CZ695" s="29"/>
      <c r="DA695" s="29"/>
      <c r="DB695" s="29"/>
      <c r="DC695" s="29"/>
      <c r="DD695" s="29"/>
      <c r="DE695" s="29"/>
      <c r="DF695" s="29"/>
      <c r="DG695" s="29"/>
      <c r="DH695" s="29"/>
      <c r="DI695" s="29"/>
      <c r="DJ695" s="29"/>
    </row>
    <row r="696" spans="1:114" s="38" customFormat="1" ht="28.5" customHeight="1">
      <c r="A696" s="242"/>
      <c r="B696" s="288" t="s">
        <v>317</v>
      </c>
      <c r="C696" s="288"/>
      <c r="D696" s="288"/>
      <c r="E696" s="288"/>
      <c r="F696" s="288"/>
      <c r="G696" s="288"/>
      <c r="H696" s="288"/>
      <c r="I696" s="288"/>
      <c r="J696" s="37"/>
      <c r="K696" s="27"/>
      <c r="L696" s="27"/>
      <c r="M696" s="27"/>
      <c r="N696" s="27"/>
      <c r="O696" s="27"/>
      <c r="P696" s="27"/>
      <c r="Q696" s="27"/>
      <c r="R696" s="27"/>
      <c r="S696" s="27"/>
      <c r="T696" s="27"/>
      <c r="U696" s="27"/>
      <c r="V696" s="28"/>
      <c r="W696" s="28"/>
      <c r="X696" s="28"/>
      <c r="Y696" s="28"/>
      <c r="Z696" s="28"/>
      <c r="AA696" s="28"/>
      <c r="AB696" s="28"/>
      <c r="AC696" s="28"/>
      <c r="AD696" s="28"/>
      <c r="AE696" s="28"/>
      <c r="AF696" s="28"/>
      <c r="AG696" s="28"/>
      <c r="AH696" s="28"/>
      <c r="AI696" s="28"/>
      <c r="AJ696" s="28"/>
      <c r="AK696" s="28"/>
      <c r="AL696" s="28"/>
      <c r="AM696" s="29"/>
      <c r="AN696" s="29"/>
      <c r="AO696" s="29"/>
      <c r="AP696" s="29"/>
      <c r="AQ696" s="29"/>
      <c r="AR696" s="29"/>
      <c r="AS696" s="29"/>
      <c r="AT696" s="29"/>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c r="BX696" s="29"/>
      <c r="BY696" s="29"/>
      <c r="BZ696" s="29"/>
      <c r="CA696" s="29"/>
      <c r="CB696" s="29"/>
      <c r="CC696" s="29"/>
      <c r="CD696" s="29"/>
      <c r="CE696" s="29"/>
      <c r="CF696" s="29"/>
      <c r="CG696" s="29"/>
      <c r="CH696" s="29"/>
      <c r="CI696" s="29"/>
      <c r="CJ696" s="29"/>
      <c r="CK696" s="29"/>
      <c r="CL696" s="29"/>
      <c r="CM696" s="29"/>
      <c r="CN696" s="29"/>
      <c r="CO696" s="29"/>
      <c r="CP696" s="29"/>
      <c r="CQ696" s="29"/>
      <c r="CR696" s="29"/>
      <c r="CS696" s="29"/>
      <c r="CT696" s="29"/>
      <c r="CU696" s="29"/>
      <c r="CV696" s="29"/>
      <c r="CW696" s="29"/>
      <c r="CX696" s="29"/>
      <c r="CY696" s="29"/>
      <c r="CZ696" s="29"/>
      <c r="DA696" s="29"/>
      <c r="DB696" s="29"/>
      <c r="DC696" s="29"/>
      <c r="DD696" s="29"/>
      <c r="DE696" s="29"/>
      <c r="DF696" s="29"/>
      <c r="DG696" s="29"/>
      <c r="DH696" s="29"/>
      <c r="DI696" s="29"/>
      <c r="DJ696" s="29"/>
    </row>
    <row r="697" spans="1:114" s="38" customFormat="1" ht="15">
      <c r="A697" s="242" t="s">
        <v>608</v>
      </c>
      <c r="B697" s="288" t="s">
        <v>665</v>
      </c>
      <c r="C697" s="288"/>
      <c r="D697" s="288"/>
      <c r="E697" s="288"/>
      <c r="F697" s="288"/>
      <c r="G697" s="288"/>
      <c r="H697" s="288"/>
      <c r="I697" s="288"/>
      <c r="J697" s="37"/>
      <c r="K697" s="27"/>
      <c r="L697" s="27"/>
      <c r="M697" s="27"/>
      <c r="N697" s="27"/>
      <c r="O697" s="27"/>
      <c r="P697" s="27"/>
      <c r="Q697" s="27"/>
      <c r="R697" s="27"/>
      <c r="S697" s="27"/>
      <c r="T697" s="27"/>
      <c r="U697" s="27"/>
      <c r="V697" s="28"/>
      <c r="W697" s="28"/>
      <c r="X697" s="28"/>
      <c r="Y697" s="28"/>
      <c r="Z697" s="28"/>
      <c r="AA697" s="28"/>
      <c r="AB697" s="28"/>
      <c r="AC697" s="28"/>
      <c r="AD697" s="28"/>
      <c r="AE697" s="28"/>
      <c r="AF697" s="28"/>
      <c r="AG697" s="28"/>
      <c r="AH697" s="28"/>
      <c r="AI697" s="28"/>
      <c r="AJ697" s="28"/>
      <c r="AK697" s="28"/>
      <c r="AL697" s="28"/>
      <c r="AM697" s="29"/>
      <c r="AN697" s="29"/>
      <c r="AO697" s="29"/>
      <c r="AP697" s="29"/>
      <c r="AQ697" s="29"/>
      <c r="AR697" s="29"/>
      <c r="AS697" s="29"/>
      <c r="AT697" s="29"/>
      <c r="AU697" s="29"/>
      <c r="AV697" s="29"/>
      <c r="AW697" s="29"/>
      <c r="AX697" s="29"/>
      <c r="AY697" s="29"/>
      <c r="AZ697" s="29"/>
      <c r="BA697" s="29"/>
      <c r="BB697" s="29"/>
      <c r="BC697" s="29"/>
      <c r="BD697" s="29"/>
      <c r="BE697" s="29"/>
      <c r="BF697" s="29"/>
      <c r="BG697" s="29"/>
      <c r="BH697" s="29"/>
      <c r="BI697" s="29"/>
      <c r="BJ697" s="29"/>
      <c r="BK697" s="29"/>
      <c r="BL697" s="29"/>
      <c r="BM697" s="29"/>
      <c r="BN697" s="29"/>
      <c r="BO697" s="29"/>
      <c r="BP697" s="29"/>
      <c r="BQ697" s="29"/>
      <c r="BR697" s="29"/>
      <c r="BS697" s="29"/>
      <c r="BT697" s="29"/>
      <c r="BU697" s="29"/>
      <c r="BV697" s="29"/>
      <c r="BW697" s="29"/>
      <c r="BX697" s="29"/>
      <c r="BY697" s="29"/>
      <c r="BZ697" s="29"/>
      <c r="CA697" s="29"/>
      <c r="CB697" s="29"/>
      <c r="CC697" s="29"/>
      <c r="CD697" s="29"/>
      <c r="CE697" s="29"/>
      <c r="CF697" s="29"/>
      <c r="CG697" s="29"/>
      <c r="CH697" s="29"/>
      <c r="CI697" s="29"/>
      <c r="CJ697" s="29"/>
      <c r="CK697" s="29"/>
      <c r="CL697" s="29"/>
      <c r="CM697" s="29"/>
      <c r="CN697" s="29"/>
      <c r="CO697" s="29"/>
      <c r="CP697" s="29"/>
      <c r="CQ697" s="29"/>
      <c r="CR697" s="29"/>
      <c r="CS697" s="29"/>
      <c r="CT697" s="29"/>
      <c r="CU697" s="29"/>
      <c r="CV697" s="29"/>
      <c r="CW697" s="29"/>
      <c r="CX697" s="29"/>
      <c r="CY697" s="29"/>
      <c r="CZ697" s="29"/>
      <c r="DA697" s="29"/>
      <c r="DB697" s="29"/>
      <c r="DC697" s="29"/>
      <c r="DD697" s="29"/>
      <c r="DE697" s="29"/>
      <c r="DF697" s="29"/>
      <c r="DG697" s="29"/>
      <c r="DH697" s="29"/>
      <c r="DI697" s="29"/>
      <c r="DJ697" s="29"/>
    </row>
    <row r="698" spans="1:114" s="38" customFormat="1" ht="27" customHeight="1">
      <c r="A698" s="242" t="s">
        <v>666</v>
      </c>
      <c r="B698" s="288" t="s">
        <v>668</v>
      </c>
      <c r="C698" s="288"/>
      <c r="D698" s="288"/>
      <c r="E698" s="288"/>
      <c r="F698" s="288"/>
      <c r="G698" s="288"/>
      <c r="H698" s="288"/>
      <c r="I698" s="288"/>
      <c r="J698" s="37"/>
      <c r="K698" s="27"/>
      <c r="L698" s="27"/>
      <c r="M698" s="27"/>
      <c r="N698" s="27"/>
      <c r="O698" s="27"/>
      <c r="P698" s="27"/>
      <c r="Q698" s="27"/>
      <c r="R698" s="27"/>
      <c r="S698" s="27"/>
      <c r="T698" s="27"/>
      <c r="U698" s="27"/>
      <c r="V698" s="28"/>
      <c r="W698" s="28"/>
      <c r="X698" s="28"/>
      <c r="Y698" s="28"/>
      <c r="Z698" s="28"/>
      <c r="AA698" s="28"/>
      <c r="AB698" s="28"/>
      <c r="AC698" s="28"/>
      <c r="AD698" s="28"/>
      <c r="AE698" s="28"/>
      <c r="AF698" s="28"/>
      <c r="AG698" s="28"/>
      <c r="AH698" s="28"/>
      <c r="AI698" s="28"/>
      <c r="AJ698" s="28"/>
      <c r="AK698" s="28"/>
      <c r="AL698" s="28"/>
      <c r="AM698" s="29"/>
      <c r="AN698" s="29"/>
      <c r="AO698" s="29"/>
      <c r="AP698" s="29"/>
      <c r="AQ698" s="29"/>
      <c r="AR698" s="29"/>
      <c r="AS698" s="29"/>
      <c r="AT698" s="29"/>
      <c r="AU698" s="29"/>
      <c r="AV698" s="29"/>
      <c r="AW698" s="29"/>
      <c r="AX698" s="29"/>
      <c r="AY698" s="29"/>
      <c r="AZ698" s="29"/>
      <c r="BA698" s="29"/>
      <c r="BB698" s="29"/>
      <c r="BC698" s="29"/>
      <c r="BD698" s="29"/>
      <c r="BE698" s="29"/>
      <c r="BF698" s="29"/>
      <c r="BG698" s="29"/>
      <c r="BH698" s="29"/>
      <c r="BI698" s="29"/>
      <c r="BJ698" s="29"/>
      <c r="BK698" s="29"/>
      <c r="BL698" s="29"/>
      <c r="BM698" s="29"/>
      <c r="BN698" s="29"/>
      <c r="BO698" s="29"/>
      <c r="BP698" s="29"/>
      <c r="BQ698" s="29"/>
      <c r="BR698" s="29"/>
      <c r="BS698" s="29"/>
      <c r="BT698" s="29"/>
      <c r="BU698" s="29"/>
      <c r="BV698" s="29"/>
      <c r="BW698" s="29"/>
      <c r="BX698" s="29"/>
      <c r="BY698" s="29"/>
      <c r="BZ698" s="29"/>
      <c r="CA698" s="29"/>
      <c r="CB698" s="29"/>
      <c r="CC698" s="29"/>
      <c r="CD698" s="29"/>
      <c r="CE698" s="29"/>
      <c r="CF698" s="29"/>
      <c r="CG698" s="29"/>
      <c r="CH698" s="29"/>
      <c r="CI698" s="29"/>
      <c r="CJ698" s="29"/>
      <c r="CK698" s="29"/>
      <c r="CL698" s="29"/>
      <c r="CM698" s="29"/>
      <c r="CN698" s="29"/>
      <c r="CO698" s="29"/>
      <c r="CP698" s="29"/>
      <c r="CQ698" s="29"/>
      <c r="CR698" s="29"/>
      <c r="CS698" s="29"/>
      <c r="CT698" s="29"/>
      <c r="CU698" s="29"/>
      <c r="CV698" s="29"/>
      <c r="CW698" s="29"/>
      <c r="CX698" s="29"/>
      <c r="CY698" s="29"/>
      <c r="CZ698" s="29"/>
      <c r="DA698" s="29"/>
      <c r="DB698" s="29"/>
      <c r="DC698" s="29"/>
      <c r="DD698" s="29"/>
      <c r="DE698" s="29"/>
      <c r="DF698" s="29"/>
      <c r="DG698" s="29"/>
      <c r="DH698" s="29"/>
      <c r="DI698" s="29"/>
      <c r="DJ698" s="29"/>
    </row>
    <row r="699" spans="1:114" s="38" customFormat="1" ht="27.75" customHeight="1">
      <c r="A699" s="242" t="s">
        <v>324</v>
      </c>
      <c r="B699" s="288" t="s">
        <v>325</v>
      </c>
      <c r="C699" s="288"/>
      <c r="D699" s="288"/>
      <c r="E699" s="288"/>
      <c r="F699" s="288"/>
      <c r="G699" s="288"/>
      <c r="H699" s="288"/>
      <c r="I699" s="288"/>
      <c r="J699" s="37"/>
      <c r="K699" s="27"/>
      <c r="L699" s="27"/>
      <c r="M699" s="27"/>
      <c r="N699" s="27"/>
      <c r="O699" s="27"/>
      <c r="P699" s="27"/>
      <c r="Q699" s="27"/>
      <c r="R699" s="27"/>
      <c r="S699" s="27"/>
      <c r="T699" s="27"/>
      <c r="U699" s="27"/>
      <c r="V699" s="28"/>
      <c r="W699" s="28"/>
      <c r="X699" s="28"/>
      <c r="Y699" s="28"/>
      <c r="Z699" s="28"/>
      <c r="AA699" s="28"/>
      <c r="AB699" s="28"/>
      <c r="AC699" s="28"/>
      <c r="AD699" s="28"/>
      <c r="AE699" s="28"/>
      <c r="AF699" s="28"/>
      <c r="AG699" s="28"/>
      <c r="AH699" s="28"/>
      <c r="AI699" s="28"/>
      <c r="AJ699" s="28"/>
      <c r="AK699" s="28"/>
      <c r="AL699" s="28"/>
      <c r="AM699" s="29"/>
      <c r="AN699" s="29"/>
      <c r="AO699" s="29"/>
      <c r="AP699" s="29"/>
      <c r="AQ699" s="29"/>
      <c r="AR699" s="29"/>
      <c r="AS699" s="29"/>
      <c r="AT699" s="29"/>
      <c r="AU699" s="29"/>
      <c r="AV699" s="29"/>
      <c r="AW699" s="29"/>
      <c r="AX699" s="29"/>
      <c r="AY699" s="29"/>
      <c r="AZ699" s="29"/>
      <c r="BA699" s="29"/>
      <c r="BB699" s="29"/>
      <c r="BC699" s="29"/>
      <c r="BD699" s="29"/>
      <c r="BE699" s="29"/>
      <c r="BF699" s="29"/>
      <c r="BG699" s="29"/>
      <c r="BH699" s="29"/>
      <c r="BI699" s="29"/>
      <c r="BJ699" s="29"/>
      <c r="BK699" s="29"/>
      <c r="BL699" s="29"/>
      <c r="BM699" s="29"/>
      <c r="BN699" s="29"/>
      <c r="BO699" s="29"/>
      <c r="BP699" s="29"/>
      <c r="BQ699" s="29"/>
      <c r="BR699" s="29"/>
      <c r="BS699" s="29"/>
      <c r="BT699" s="29"/>
      <c r="BU699" s="29"/>
      <c r="BV699" s="29"/>
      <c r="BW699" s="29"/>
      <c r="BX699" s="29"/>
      <c r="BY699" s="29"/>
      <c r="BZ699" s="29"/>
      <c r="CA699" s="29"/>
      <c r="CB699" s="29"/>
      <c r="CC699" s="29"/>
      <c r="CD699" s="29"/>
      <c r="CE699" s="29"/>
      <c r="CF699" s="29"/>
      <c r="CG699" s="29"/>
      <c r="CH699" s="29"/>
      <c r="CI699" s="29"/>
      <c r="CJ699" s="29"/>
      <c r="CK699" s="29"/>
      <c r="CL699" s="29"/>
      <c r="CM699" s="29"/>
      <c r="CN699" s="29"/>
      <c r="CO699" s="29"/>
      <c r="CP699" s="29"/>
      <c r="CQ699" s="29"/>
      <c r="CR699" s="29"/>
      <c r="CS699" s="29"/>
      <c r="CT699" s="29"/>
      <c r="CU699" s="29"/>
      <c r="CV699" s="29"/>
      <c r="CW699" s="29"/>
      <c r="CX699" s="29"/>
      <c r="CY699" s="29"/>
      <c r="CZ699" s="29"/>
      <c r="DA699" s="29"/>
      <c r="DB699" s="29"/>
      <c r="DC699" s="29"/>
      <c r="DD699" s="29"/>
      <c r="DE699" s="29"/>
      <c r="DF699" s="29"/>
      <c r="DG699" s="29"/>
      <c r="DH699" s="29"/>
      <c r="DI699" s="29"/>
      <c r="DJ699" s="29"/>
    </row>
    <row r="700" spans="1:114" s="38" customFormat="1" ht="15">
      <c r="A700" s="242" t="s">
        <v>417</v>
      </c>
      <c r="B700" s="288" t="s">
        <v>416</v>
      </c>
      <c r="C700" s="288"/>
      <c r="D700" s="288"/>
      <c r="E700" s="288"/>
      <c r="F700" s="288"/>
      <c r="G700" s="288"/>
      <c r="H700" s="288"/>
      <c r="I700" s="288"/>
      <c r="J700" s="37"/>
      <c r="K700" s="27"/>
      <c r="L700" s="27"/>
      <c r="M700" s="27"/>
      <c r="N700" s="27"/>
      <c r="O700" s="27"/>
      <c r="P700" s="27"/>
      <c r="Q700" s="27"/>
      <c r="R700" s="27"/>
      <c r="S700" s="27"/>
      <c r="T700" s="27"/>
      <c r="U700" s="27"/>
      <c r="V700" s="28"/>
      <c r="W700" s="28"/>
      <c r="X700" s="28"/>
      <c r="Y700" s="28"/>
      <c r="Z700" s="28"/>
      <c r="AA700" s="28"/>
      <c r="AB700" s="28"/>
      <c r="AC700" s="28"/>
      <c r="AD700" s="28"/>
      <c r="AE700" s="28"/>
      <c r="AF700" s="28"/>
      <c r="AG700" s="28"/>
      <c r="AH700" s="28"/>
      <c r="AI700" s="28"/>
      <c r="AJ700" s="28"/>
      <c r="AK700" s="28"/>
      <c r="AL700" s="28"/>
      <c r="AM700" s="29"/>
      <c r="AN700" s="29"/>
      <c r="AO700" s="29"/>
      <c r="AP700" s="29"/>
      <c r="AQ700" s="29"/>
      <c r="AR700" s="29"/>
      <c r="AS700" s="29"/>
      <c r="AT700" s="29"/>
      <c r="AU700" s="29"/>
      <c r="AV700" s="29"/>
      <c r="AW700" s="29"/>
      <c r="AX700" s="29"/>
      <c r="AY700" s="29"/>
      <c r="AZ700" s="29"/>
      <c r="BA700" s="29"/>
      <c r="BB700" s="29"/>
      <c r="BC700" s="29"/>
      <c r="BD700" s="29"/>
      <c r="BE700" s="29"/>
      <c r="BF700" s="29"/>
      <c r="BG700" s="29"/>
      <c r="BH700" s="29"/>
      <c r="BI700" s="29"/>
      <c r="BJ700" s="29"/>
      <c r="BK700" s="29"/>
      <c r="BL700" s="29"/>
      <c r="BM700" s="29"/>
      <c r="BN700" s="29"/>
      <c r="BO700" s="29"/>
      <c r="BP700" s="29"/>
      <c r="BQ700" s="29"/>
      <c r="BR700" s="29"/>
      <c r="BS700" s="29"/>
      <c r="BT700" s="29"/>
      <c r="BU700" s="29"/>
      <c r="BV700" s="29"/>
      <c r="BW700" s="29"/>
      <c r="BX700" s="29"/>
      <c r="BY700" s="29"/>
      <c r="BZ700" s="29"/>
      <c r="CA700" s="29"/>
      <c r="CB700" s="29"/>
      <c r="CC700" s="29"/>
      <c r="CD700" s="29"/>
      <c r="CE700" s="29"/>
      <c r="CF700" s="29"/>
      <c r="CG700" s="29"/>
      <c r="CH700" s="29"/>
      <c r="CI700" s="29"/>
      <c r="CJ700" s="29"/>
      <c r="CK700" s="29"/>
      <c r="CL700" s="29"/>
      <c r="CM700" s="29"/>
      <c r="CN700" s="29"/>
      <c r="CO700" s="29"/>
      <c r="CP700" s="29"/>
      <c r="CQ700" s="29"/>
      <c r="CR700" s="29"/>
      <c r="CS700" s="29"/>
      <c r="CT700" s="29"/>
      <c r="CU700" s="29"/>
      <c r="CV700" s="29"/>
      <c r="CW700" s="29"/>
      <c r="CX700" s="29"/>
      <c r="CY700" s="29"/>
      <c r="CZ700" s="29"/>
      <c r="DA700" s="29"/>
      <c r="DB700" s="29"/>
      <c r="DC700" s="29"/>
      <c r="DD700" s="29"/>
      <c r="DE700" s="29"/>
      <c r="DF700" s="29"/>
      <c r="DG700" s="29"/>
      <c r="DH700" s="29"/>
      <c r="DI700" s="29"/>
      <c r="DJ700" s="29"/>
    </row>
    <row r="701" spans="1:114" s="38" customFormat="1" ht="27" customHeight="1">
      <c r="A701" s="242" t="s">
        <v>629</v>
      </c>
      <c r="B701" s="288" t="s">
        <v>372</v>
      </c>
      <c r="C701" s="288"/>
      <c r="D701" s="288"/>
      <c r="E701" s="288"/>
      <c r="F701" s="288"/>
      <c r="G701" s="288"/>
      <c r="H701" s="288"/>
      <c r="I701" s="244"/>
      <c r="J701" s="37"/>
      <c r="K701" s="27"/>
      <c r="L701" s="27"/>
      <c r="M701" s="27"/>
      <c r="N701" s="27"/>
      <c r="O701" s="27"/>
      <c r="P701" s="27"/>
      <c r="Q701" s="27"/>
      <c r="R701" s="27"/>
      <c r="S701" s="27"/>
      <c r="T701" s="27"/>
      <c r="U701" s="27"/>
      <c r="V701" s="28"/>
      <c r="W701" s="28"/>
      <c r="X701" s="28"/>
      <c r="Y701" s="28"/>
      <c r="Z701" s="28"/>
      <c r="AA701" s="28"/>
      <c r="AB701" s="28"/>
      <c r="AC701" s="28"/>
      <c r="AD701" s="28"/>
      <c r="AE701" s="28"/>
      <c r="AF701" s="28"/>
      <c r="AG701" s="28"/>
      <c r="AH701" s="28"/>
      <c r="AI701" s="28"/>
      <c r="AJ701" s="28"/>
      <c r="AK701" s="28"/>
      <c r="AL701" s="28"/>
      <c r="AM701" s="29"/>
      <c r="AN701" s="29"/>
      <c r="AO701" s="29"/>
      <c r="AP701" s="29"/>
      <c r="AQ701" s="29"/>
      <c r="AR701" s="29"/>
      <c r="AS701" s="29"/>
      <c r="AT701" s="29"/>
      <c r="AU701" s="29"/>
      <c r="AV701" s="29"/>
      <c r="AW701" s="29"/>
      <c r="AX701" s="29"/>
      <c r="AY701" s="29"/>
      <c r="AZ701" s="29"/>
      <c r="BA701" s="29"/>
      <c r="BB701" s="29"/>
      <c r="BC701" s="29"/>
      <c r="BD701" s="29"/>
      <c r="BE701" s="29"/>
      <c r="BF701" s="29"/>
      <c r="BG701" s="29"/>
      <c r="BH701" s="29"/>
      <c r="BI701" s="29"/>
      <c r="BJ701" s="29"/>
      <c r="BK701" s="29"/>
      <c r="BL701" s="29"/>
      <c r="BM701" s="29"/>
      <c r="BN701" s="29"/>
      <c r="BO701" s="29"/>
      <c r="BP701" s="29"/>
      <c r="BQ701" s="29"/>
      <c r="BR701" s="29"/>
      <c r="BS701" s="29"/>
      <c r="BT701" s="29"/>
      <c r="BU701" s="29"/>
      <c r="BV701" s="29"/>
      <c r="BW701" s="29"/>
      <c r="BX701" s="29"/>
      <c r="BY701" s="29"/>
      <c r="BZ701" s="29"/>
      <c r="CA701" s="29"/>
      <c r="CB701" s="29"/>
      <c r="CC701" s="29"/>
      <c r="CD701" s="29"/>
      <c r="CE701" s="29"/>
      <c r="CF701" s="29"/>
      <c r="CG701" s="29"/>
      <c r="CH701" s="29"/>
      <c r="CI701" s="29"/>
      <c r="CJ701" s="29"/>
      <c r="CK701" s="29"/>
      <c r="CL701" s="29"/>
      <c r="CM701" s="29"/>
      <c r="CN701" s="29"/>
      <c r="CO701" s="29"/>
      <c r="CP701" s="29"/>
      <c r="CQ701" s="29"/>
      <c r="CR701" s="29"/>
      <c r="CS701" s="29"/>
      <c r="CT701" s="29"/>
      <c r="CU701" s="29"/>
      <c r="CV701" s="29"/>
      <c r="CW701" s="29"/>
      <c r="CX701" s="29"/>
      <c r="CY701" s="29"/>
      <c r="CZ701" s="29"/>
      <c r="DA701" s="29"/>
      <c r="DB701" s="29"/>
      <c r="DC701" s="29"/>
      <c r="DD701" s="29"/>
      <c r="DE701" s="29"/>
      <c r="DF701" s="29"/>
      <c r="DG701" s="29"/>
      <c r="DH701" s="29"/>
      <c r="DI701" s="29"/>
      <c r="DJ701" s="29"/>
    </row>
    <row r="702" spans="1:114" s="38" customFormat="1" ht="18.75" customHeight="1">
      <c r="A702" s="242" t="s">
        <v>562</v>
      </c>
      <c r="B702" s="288" t="s">
        <v>563</v>
      </c>
      <c r="C702" s="288"/>
      <c r="D702" s="288"/>
      <c r="E702" s="288"/>
      <c r="F702" s="288"/>
      <c r="G702" s="288"/>
      <c r="H702" s="288"/>
      <c r="I702" s="244"/>
      <c r="J702" s="37"/>
      <c r="K702" s="27"/>
      <c r="L702" s="27"/>
      <c r="M702" s="27"/>
      <c r="N702" s="27"/>
      <c r="O702" s="27"/>
      <c r="P702" s="27"/>
      <c r="Q702" s="27"/>
      <c r="R702" s="27"/>
      <c r="S702" s="27"/>
      <c r="T702" s="27"/>
      <c r="U702" s="27"/>
      <c r="V702" s="28"/>
      <c r="W702" s="28"/>
      <c r="X702" s="28"/>
      <c r="Y702" s="28"/>
      <c r="Z702" s="28"/>
      <c r="AA702" s="28"/>
      <c r="AB702" s="28"/>
      <c r="AC702" s="28"/>
      <c r="AD702" s="28"/>
      <c r="AE702" s="28"/>
      <c r="AF702" s="28"/>
      <c r="AG702" s="28"/>
      <c r="AH702" s="28"/>
      <c r="AI702" s="28"/>
      <c r="AJ702" s="28"/>
      <c r="AK702" s="28"/>
      <c r="AL702" s="28"/>
      <c r="AM702" s="29"/>
      <c r="AN702" s="29"/>
      <c r="AO702" s="29"/>
      <c r="AP702" s="29"/>
      <c r="AQ702" s="29"/>
      <c r="AR702" s="29"/>
      <c r="AS702" s="29"/>
      <c r="AT702" s="29"/>
      <c r="AU702" s="29"/>
      <c r="AV702" s="29"/>
      <c r="AW702" s="29"/>
      <c r="AX702" s="29"/>
      <c r="AY702" s="29"/>
      <c r="AZ702" s="29"/>
      <c r="BA702" s="29"/>
      <c r="BB702" s="29"/>
      <c r="BC702" s="29"/>
      <c r="BD702" s="29"/>
      <c r="BE702" s="29"/>
      <c r="BF702" s="29"/>
      <c r="BG702" s="29"/>
      <c r="BH702" s="29"/>
      <c r="BI702" s="29"/>
      <c r="BJ702" s="29"/>
      <c r="BK702" s="29"/>
      <c r="BL702" s="29"/>
      <c r="BM702" s="29"/>
      <c r="BN702" s="29"/>
      <c r="BO702" s="29"/>
      <c r="BP702" s="29"/>
      <c r="BQ702" s="29"/>
      <c r="BR702" s="29"/>
      <c r="BS702" s="29"/>
      <c r="BT702" s="29"/>
      <c r="BU702" s="29"/>
      <c r="BV702" s="29"/>
      <c r="BW702" s="29"/>
      <c r="BX702" s="29"/>
      <c r="BY702" s="29"/>
      <c r="BZ702" s="29"/>
      <c r="CA702" s="29"/>
      <c r="CB702" s="29"/>
      <c r="CC702" s="29"/>
      <c r="CD702" s="29"/>
      <c r="CE702" s="29"/>
      <c r="CF702" s="29"/>
      <c r="CG702" s="29"/>
      <c r="CH702" s="29"/>
      <c r="CI702" s="29"/>
      <c r="CJ702" s="29"/>
      <c r="CK702" s="29"/>
      <c r="CL702" s="29"/>
      <c r="CM702" s="29"/>
      <c r="CN702" s="29"/>
      <c r="CO702" s="29"/>
      <c r="CP702" s="29"/>
      <c r="CQ702" s="29"/>
      <c r="CR702" s="29"/>
      <c r="CS702" s="29"/>
      <c r="CT702" s="29"/>
      <c r="CU702" s="29"/>
      <c r="CV702" s="29"/>
      <c r="CW702" s="29"/>
      <c r="CX702" s="29"/>
      <c r="CY702" s="29"/>
      <c r="CZ702" s="29"/>
      <c r="DA702" s="29"/>
      <c r="DB702" s="29"/>
      <c r="DC702" s="29"/>
      <c r="DD702" s="29"/>
      <c r="DE702" s="29"/>
      <c r="DF702" s="29"/>
      <c r="DG702" s="29"/>
      <c r="DH702" s="29"/>
      <c r="DI702" s="29"/>
      <c r="DJ702" s="29"/>
    </row>
    <row r="703" spans="1:114" s="38" customFormat="1" ht="45.75" customHeight="1">
      <c r="A703" s="245" t="s">
        <v>742</v>
      </c>
      <c r="B703" s="284" t="s">
        <v>802</v>
      </c>
      <c r="C703" s="284"/>
      <c r="D703" s="284"/>
      <c r="E703" s="284"/>
      <c r="F703" s="284"/>
      <c r="G703" s="284"/>
      <c r="H703" s="284"/>
      <c r="I703" s="284"/>
      <c r="J703" s="37"/>
      <c r="K703" s="27"/>
      <c r="L703" s="27"/>
      <c r="M703" s="27"/>
      <c r="N703" s="27"/>
      <c r="O703" s="27"/>
      <c r="P703" s="27"/>
      <c r="Q703" s="27"/>
      <c r="R703" s="27"/>
      <c r="S703" s="27"/>
      <c r="T703" s="27"/>
      <c r="U703" s="27"/>
      <c r="V703" s="28"/>
      <c r="W703" s="28"/>
      <c r="X703" s="28"/>
      <c r="Y703" s="28"/>
      <c r="Z703" s="28"/>
      <c r="AA703" s="28"/>
      <c r="AB703" s="28"/>
      <c r="AC703" s="28"/>
      <c r="AD703" s="28"/>
      <c r="AE703" s="28"/>
      <c r="AF703" s="28"/>
      <c r="AG703" s="28"/>
      <c r="AH703" s="28"/>
      <c r="AI703" s="28"/>
      <c r="AJ703" s="28"/>
      <c r="AK703" s="28"/>
      <c r="AL703" s="28"/>
      <c r="AM703" s="29"/>
      <c r="AN703" s="29"/>
      <c r="AO703" s="29"/>
      <c r="AP703" s="29"/>
      <c r="AQ703" s="29"/>
      <c r="AR703" s="29"/>
      <c r="AS703" s="29"/>
      <c r="AT703" s="29"/>
      <c r="AU703" s="29"/>
      <c r="AV703" s="29"/>
      <c r="AW703" s="29"/>
      <c r="AX703" s="29"/>
      <c r="AY703" s="29"/>
      <c r="AZ703" s="29"/>
      <c r="BA703" s="29"/>
      <c r="BB703" s="29"/>
      <c r="BC703" s="29"/>
      <c r="BD703" s="29"/>
      <c r="BE703" s="29"/>
      <c r="BF703" s="29"/>
      <c r="BG703" s="29"/>
      <c r="BH703" s="29"/>
      <c r="BI703" s="29"/>
      <c r="BJ703" s="29"/>
      <c r="BK703" s="29"/>
      <c r="BL703" s="29"/>
      <c r="BM703" s="29"/>
      <c r="BN703" s="29"/>
      <c r="BO703" s="29"/>
      <c r="BP703" s="29"/>
      <c r="BQ703" s="29"/>
      <c r="BR703" s="29"/>
      <c r="BS703" s="29"/>
      <c r="BT703" s="29"/>
      <c r="BU703" s="29"/>
      <c r="BV703" s="29"/>
      <c r="BW703" s="29"/>
      <c r="BX703" s="29"/>
      <c r="BY703" s="29"/>
      <c r="BZ703" s="29"/>
      <c r="CA703" s="29"/>
      <c r="CB703" s="29"/>
      <c r="CC703" s="29"/>
      <c r="CD703" s="29"/>
      <c r="CE703" s="29"/>
      <c r="CF703" s="29"/>
      <c r="CG703" s="29"/>
      <c r="CH703" s="29"/>
      <c r="CI703" s="29"/>
      <c r="CJ703" s="29"/>
      <c r="CK703" s="29"/>
      <c r="CL703" s="29"/>
      <c r="CM703" s="29"/>
      <c r="CN703" s="29"/>
      <c r="CO703" s="29"/>
      <c r="CP703" s="29"/>
      <c r="CQ703" s="29"/>
      <c r="CR703" s="29"/>
      <c r="CS703" s="29"/>
      <c r="CT703" s="29"/>
      <c r="CU703" s="29"/>
      <c r="CV703" s="29"/>
      <c r="CW703" s="29"/>
      <c r="CX703" s="29"/>
      <c r="CY703" s="29"/>
      <c r="CZ703" s="29"/>
      <c r="DA703" s="29"/>
      <c r="DB703" s="29"/>
      <c r="DC703" s="29"/>
      <c r="DD703" s="29"/>
      <c r="DE703" s="29"/>
      <c r="DF703" s="29"/>
      <c r="DG703" s="29"/>
      <c r="DH703" s="29"/>
      <c r="DI703" s="29"/>
      <c r="DJ703" s="29"/>
    </row>
    <row r="704" spans="1:114" s="38" customFormat="1" ht="19.5" customHeight="1">
      <c r="A704" s="245" t="s">
        <v>1032</v>
      </c>
      <c r="B704" s="284" t="s">
        <v>1033</v>
      </c>
      <c r="C704" s="284"/>
      <c r="D704" s="284"/>
      <c r="E704" s="284"/>
      <c r="F704" s="284"/>
      <c r="G704" s="284"/>
      <c r="H704" s="284"/>
      <c r="I704" s="284"/>
      <c r="J704" s="37"/>
      <c r="K704" s="27"/>
      <c r="L704" s="27"/>
      <c r="M704" s="27"/>
      <c r="N704" s="27"/>
      <c r="O704" s="27"/>
      <c r="P704" s="27"/>
      <c r="Q704" s="27"/>
      <c r="R704" s="27"/>
      <c r="S704" s="27"/>
      <c r="T704" s="27"/>
      <c r="U704" s="27"/>
      <c r="V704" s="28"/>
      <c r="W704" s="28"/>
      <c r="X704" s="28"/>
      <c r="Y704" s="28"/>
      <c r="Z704" s="28"/>
      <c r="AA704" s="28"/>
      <c r="AB704" s="28"/>
      <c r="AC704" s="28"/>
      <c r="AD704" s="28"/>
      <c r="AE704" s="28"/>
      <c r="AF704" s="28"/>
      <c r="AG704" s="28"/>
      <c r="AH704" s="28"/>
      <c r="AI704" s="28"/>
      <c r="AJ704" s="28"/>
      <c r="AK704" s="28"/>
      <c r="AL704" s="28"/>
      <c r="AM704" s="29"/>
      <c r="AN704" s="29"/>
      <c r="AO704" s="29"/>
      <c r="AP704" s="29"/>
      <c r="AQ704" s="29"/>
      <c r="AR704" s="29"/>
      <c r="AS704" s="29"/>
      <c r="AT704" s="29"/>
      <c r="AU704" s="29"/>
      <c r="AV704" s="29"/>
      <c r="AW704" s="29"/>
      <c r="AX704" s="29"/>
      <c r="AY704" s="29"/>
      <c r="AZ704" s="29"/>
      <c r="BA704" s="29"/>
      <c r="BB704" s="29"/>
      <c r="BC704" s="29"/>
      <c r="BD704" s="29"/>
      <c r="BE704" s="29"/>
      <c r="BF704" s="29"/>
      <c r="BG704" s="29"/>
      <c r="BH704" s="29"/>
      <c r="BI704" s="29"/>
      <c r="BJ704" s="29"/>
      <c r="BK704" s="29"/>
      <c r="BL704" s="29"/>
      <c r="BM704" s="29"/>
      <c r="BN704" s="29"/>
      <c r="BO704" s="29"/>
      <c r="BP704" s="29"/>
      <c r="BQ704" s="29"/>
      <c r="BR704" s="29"/>
      <c r="BS704" s="29"/>
      <c r="BT704" s="29"/>
      <c r="BU704" s="29"/>
      <c r="BV704" s="29"/>
      <c r="BW704" s="29"/>
      <c r="BX704" s="29"/>
      <c r="BY704" s="29"/>
      <c r="BZ704" s="29"/>
      <c r="CA704" s="29"/>
      <c r="CB704" s="29"/>
      <c r="CC704" s="29"/>
      <c r="CD704" s="29"/>
      <c r="CE704" s="29"/>
      <c r="CF704" s="29"/>
      <c r="CG704" s="29"/>
      <c r="CH704" s="29"/>
      <c r="CI704" s="29"/>
      <c r="CJ704" s="29"/>
      <c r="CK704" s="29"/>
      <c r="CL704" s="29"/>
      <c r="CM704" s="29"/>
      <c r="CN704" s="29"/>
      <c r="CO704" s="29"/>
      <c r="CP704" s="29"/>
      <c r="CQ704" s="29"/>
      <c r="CR704" s="29"/>
      <c r="CS704" s="29"/>
      <c r="CT704" s="29"/>
      <c r="CU704" s="29"/>
      <c r="CV704" s="29"/>
      <c r="CW704" s="29"/>
      <c r="CX704" s="29"/>
      <c r="CY704" s="29"/>
      <c r="CZ704" s="29"/>
      <c r="DA704" s="29"/>
      <c r="DB704" s="29"/>
      <c r="DC704" s="29"/>
      <c r="DD704" s="29"/>
      <c r="DE704" s="29"/>
      <c r="DF704" s="29"/>
      <c r="DG704" s="29"/>
      <c r="DH704" s="29"/>
      <c r="DI704" s="29"/>
      <c r="DJ704" s="29"/>
    </row>
    <row r="705" spans="1:114" s="38" customFormat="1" ht="19.5" customHeight="1">
      <c r="A705" s="245" t="s">
        <v>1063</v>
      </c>
      <c r="B705" s="284" t="s">
        <v>1067</v>
      </c>
      <c r="C705" s="284"/>
      <c r="D705" s="284"/>
      <c r="E705" s="284"/>
      <c r="F705" s="284"/>
      <c r="G705" s="284"/>
      <c r="H705" s="284"/>
      <c r="I705" s="284"/>
      <c r="J705" s="37"/>
      <c r="K705" s="27"/>
      <c r="L705" s="27"/>
      <c r="M705" s="27"/>
      <c r="N705" s="27"/>
      <c r="O705" s="27"/>
      <c r="P705" s="27"/>
      <c r="Q705" s="27"/>
      <c r="R705" s="27"/>
      <c r="S705" s="27"/>
      <c r="T705" s="27"/>
      <c r="U705" s="27"/>
      <c r="V705" s="28"/>
      <c r="W705" s="28"/>
      <c r="X705" s="28"/>
      <c r="Y705" s="28"/>
      <c r="Z705" s="28"/>
      <c r="AA705" s="28"/>
      <c r="AB705" s="28"/>
      <c r="AC705" s="28"/>
      <c r="AD705" s="28"/>
      <c r="AE705" s="28"/>
      <c r="AF705" s="28"/>
      <c r="AG705" s="28"/>
      <c r="AH705" s="28"/>
      <c r="AI705" s="28"/>
      <c r="AJ705" s="28"/>
      <c r="AK705" s="28"/>
      <c r="AL705" s="28"/>
      <c r="AM705" s="29"/>
      <c r="AN705" s="29"/>
      <c r="AO705" s="29"/>
      <c r="AP705" s="29"/>
      <c r="AQ705" s="29"/>
      <c r="AR705" s="29"/>
      <c r="AS705" s="29"/>
      <c r="AT705" s="29"/>
      <c r="AU705" s="29"/>
      <c r="AV705" s="29"/>
      <c r="AW705" s="29"/>
      <c r="AX705" s="29"/>
      <c r="AY705" s="29"/>
      <c r="AZ705" s="29"/>
      <c r="BA705" s="29"/>
      <c r="BB705" s="29"/>
      <c r="BC705" s="29"/>
      <c r="BD705" s="29"/>
      <c r="BE705" s="29"/>
      <c r="BF705" s="29"/>
      <c r="BG705" s="29"/>
      <c r="BH705" s="29"/>
      <c r="BI705" s="29"/>
      <c r="BJ705" s="29"/>
      <c r="BK705" s="29"/>
      <c r="BL705" s="29"/>
      <c r="BM705" s="29"/>
      <c r="BN705" s="29"/>
      <c r="BO705" s="29"/>
      <c r="BP705" s="29"/>
      <c r="BQ705" s="29"/>
      <c r="BR705" s="29"/>
      <c r="BS705" s="29"/>
      <c r="BT705" s="29"/>
      <c r="BU705" s="29"/>
      <c r="BV705" s="29"/>
      <c r="BW705" s="29"/>
      <c r="BX705" s="29"/>
      <c r="BY705" s="29"/>
      <c r="BZ705" s="29"/>
      <c r="CA705" s="29"/>
      <c r="CB705" s="29"/>
      <c r="CC705" s="29"/>
      <c r="CD705" s="29"/>
      <c r="CE705" s="29"/>
      <c r="CF705" s="29"/>
      <c r="CG705" s="29"/>
      <c r="CH705" s="29"/>
      <c r="CI705" s="29"/>
      <c r="CJ705" s="29"/>
      <c r="CK705" s="29"/>
      <c r="CL705" s="29"/>
      <c r="CM705" s="29"/>
      <c r="CN705" s="29"/>
      <c r="CO705" s="29"/>
      <c r="CP705" s="29"/>
      <c r="CQ705" s="29"/>
      <c r="CR705" s="29"/>
      <c r="CS705" s="29"/>
      <c r="CT705" s="29"/>
      <c r="CU705" s="29"/>
      <c r="CV705" s="29"/>
      <c r="CW705" s="29"/>
      <c r="CX705" s="29"/>
      <c r="CY705" s="29"/>
      <c r="CZ705" s="29"/>
      <c r="DA705" s="29"/>
      <c r="DB705" s="29"/>
      <c r="DC705" s="29"/>
      <c r="DD705" s="29"/>
      <c r="DE705" s="29"/>
      <c r="DF705" s="29"/>
      <c r="DG705" s="29"/>
      <c r="DH705" s="29"/>
      <c r="DI705" s="29"/>
      <c r="DJ705" s="29"/>
    </row>
    <row r="706" spans="1:114" s="38" customFormat="1" ht="19.5" customHeight="1">
      <c r="A706" s="245" t="s">
        <v>1066</v>
      </c>
      <c r="B706" s="284" t="s">
        <v>1064</v>
      </c>
      <c r="C706" s="284"/>
      <c r="D706" s="284"/>
      <c r="E706" s="284"/>
      <c r="F706" s="284"/>
      <c r="G706" s="284"/>
      <c r="H706" s="284"/>
      <c r="I706" s="284"/>
      <c r="J706" s="37"/>
      <c r="K706" s="27"/>
      <c r="L706" s="27"/>
      <c r="M706" s="27"/>
      <c r="N706" s="27"/>
      <c r="O706" s="27"/>
      <c r="P706" s="27"/>
      <c r="Q706" s="27"/>
      <c r="R706" s="27"/>
      <c r="S706" s="27"/>
      <c r="T706" s="27"/>
      <c r="U706" s="27"/>
      <c r="V706" s="28"/>
      <c r="W706" s="28"/>
      <c r="X706" s="28"/>
      <c r="Y706" s="28"/>
      <c r="Z706" s="28"/>
      <c r="AA706" s="28"/>
      <c r="AB706" s="28"/>
      <c r="AC706" s="28"/>
      <c r="AD706" s="28"/>
      <c r="AE706" s="28"/>
      <c r="AF706" s="28"/>
      <c r="AG706" s="28"/>
      <c r="AH706" s="28"/>
      <c r="AI706" s="28"/>
      <c r="AJ706" s="28"/>
      <c r="AK706" s="28"/>
      <c r="AL706" s="28"/>
      <c r="AM706" s="29"/>
      <c r="AN706" s="29"/>
      <c r="AO706" s="29"/>
      <c r="AP706" s="29"/>
      <c r="AQ706" s="29"/>
      <c r="AR706" s="29"/>
      <c r="AS706" s="29"/>
      <c r="AT706" s="29"/>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c r="BX706" s="29"/>
      <c r="BY706" s="29"/>
      <c r="BZ706" s="29"/>
      <c r="CA706" s="29"/>
      <c r="CB706" s="29"/>
      <c r="CC706" s="29"/>
      <c r="CD706" s="29"/>
      <c r="CE706" s="29"/>
      <c r="CF706" s="29"/>
      <c r="CG706" s="29"/>
      <c r="CH706" s="29"/>
      <c r="CI706" s="29"/>
      <c r="CJ706" s="29"/>
      <c r="CK706" s="29"/>
      <c r="CL706" s="29"/>
      <c r="CM706" s="29"/>
      <c r="CN706" s="29"/>
      <c r="CO706" s="29"/>
      <c r="CP706" s="29"/>
      <c r="CQ706" s="29"/>
      <c r="CR706" s="29"/>
      <c r="CS706" s="29"/>
      <c r="CT706" s="29"/>
      <c r="CU706" s="29"/>
      <c r="CV706" s="29"/>
      <c r="CW706" s="29"/>
      <c r="CX706" s="29"/>
      <c r="CY706" s="29"/>
      <c r="CZ706" s="29"/>
      <c r="DA706" s="29"/>
      <c r="DB706" s="29"/>
      <c r="DC706" s="29"/>
      <c r="DD706" s="29"/>
      <c r="DE706" s="29"/>
      <c r="DF706" s="29"/>
      <c r="DG706" s="29"/>
      <c r="DH706" s="29"/>
      <c r="DI706" s="29"/>
      <c r="DJ706" s="29"/>
    </row>
    <row r="707" spans="1:114" s="38" customFormat="1" ht="41.25" customHeight="1">
      <c r="A707" s="245" t="s">
        <v>1084</v>
      </c>
      <c r="B707" s="284" t="s">
        <v>1085</v>
      </c>
      <c r="C707" s="284"/>
      <c r="D707" s="284"/>
      <c r="E707" s="284"/>
      <c r="F707" s="284"/>
      <c r="G707" s="284"/>
      <c r="H707" s="284"/>
      <c r="I707" s="284"/>
      <c r="J707" s="37"/>
      <c r="K707" s="27"/>
      <c r="L707" s="27"/>
      <c r="M707" s="27"/>
      <c r="N707" s="27"/>
      <c r="O707" s="27"/>
      <c r="P707" s="27"/>
      <c r="Q707" s="27"/>
      <c r="R707" s="27"/>
      <c r="S707" s="27"/>
      <c r="T707" s="27"/>
      <c r="U707" s="27"/>
      <c r="V707" s="28"/>
      <c r="W707" s="28"/>
      <c r="X707" s="28"/>
      <c r="Y707" s="28"/>
      <c r="Z707" s="28"/>
      <c r="AA707" s="28"/>
      <c r="AB707" s="28"/>
      <c r="AC707" s="28"/>
      <c r="AD707" s="28"/>
      <c r="AE707" s="28"/>
      <c r="AF707" s="28"/>
      <c r="AG707" s="28"/>
      <c r="AH707" s="28"/>
      <c r="AI707" s="28"/>
      <c r="AJ707" s="28"/>
      <c r="AK707" s="28"/>
      <c r="AL707" s="28"/>
      <c r="AM707" s="29"/>
      <c r="AN707" s="29"/>
      <c r="AO707" s="29"/>
      <c r="AP707" s="29"/>
      <c r="AQ707" s="29"/>
      <c r="AR707" s="29"/>
      <c r="AS707" s="29"/>
      <c r="AT707" s="29"/>
      <c r="AU707" s="29"/>
      <c r="AV707" s="29"/>
      <c r="AW707" s="29"/>
      <c r="AX707" s="29"/>
      <c r="AY707" s="29"/>
      <c r="AZ707" s="29"/>
      <c r="BA707" s="29"/>
      <c r="BB707" s="29"/>
      <c r="BC707" s="29"/>
      <c r="BD707" s="29"/>
      <c r="BE707" s="29"/>
      <c r="BF707" s="29"/>
      <c r="BG707" s="29"/>
      <c r="BH707" s="29"/>
      <c r="BI707" s="29"/>
      <c r="BJ707" s="29"/>
      <c r="BK707" s="29"/>
      <c r="BL707" s="29"/>
      <c r="BM707" s="29"/>
      <c r="BN707" s="29"/>
      <c r="BO707" s="29"/>
      <c r="BP707" s="29"/>
      <c r="BQ707" s="29"/>
      <c r="BR707" s="29"/>
      <c r="BS707" s="29"/>
      <c r="BT707" s="29"/>
      <c r="BU707" s="29"/>
      <c r="BV707" s="29"/>
      <c r="BW707" s="29"/>
      <c r="BX707" s="29"/>
      <c r="BY707" s="29"/>
      <c r="BZ707" s="29"/>
      <c r="CA707" s="29"/>
      <c r="CB707" s="29"/>
      <c r="CC707" s="29"/>
      <c r="CD707" s="29"/>
      <c r="CE707" s="29"/>
      <c r="CF707" s="29"/>
      <c r="CG707" s="29"/>
      <c r="CH707" s="29"/>
      <c r="CI707" s="29"/>
      <c r="CJ707" s="29"/>
      <c r="CK707" s="29"/>
      <c r="CL707" s="29"/>
      <c r="CM707" s="29"/>
      <c r="CN707" s="29"/>
      <c r="CO707" s="29"/>
      <c r="CP707" s="29"/>
      <c r="CQ707" s="29"/>
      <c r="CR707" s="29"/>
      <c r="CS707" s="29"/>
      <c r="CT707" s="29"/>
      <c r="CU707" s="29"/>
      <c r="CV707" s="29"/>
      <c r="CW707" s="29"/>
      <c r="CX707" s="29"/>
      <c r="CY707" s="29"/>
      <c r="CZ707" s="29"/>
      <c r="DA707" s="29"/>
      <c r="DB707" s="29"/>
      <c r="DC707" s="29"/>
      <c r="DD707" s="29"/>
      <c r="DE707" s="29"/>
      <c r="DF707" s="29"/>
      <c r="DG707" s="29"/>
      <c r="DH707" s="29"/>
      <c r="DI707" s="29"/>
      <c r="DJ707" s="29"/>
    </row>
    <row r="708" spans="1:114" s="38" customFormat="1" ht="55.5" customHeight="1">
      <c r="A708" s="245" t="s">
        <v>1099</v>
      </c>
      <c r="B708" s="284" t="s">
        <v>1098</v>
      </c>
      <c r="C708" s="284"/>
      <c r="D708" s="284"/>
      <c r="E708" s="284"/>
      <c r="F708" s="284"/>
      <c r="G708" s="284"/>
      <c r="H708" s="284"/>
      <c r="I708" s="284"/>
      <c r="J708" s="37"/>
      <c r="K708" s="27"/>
      <c r="L708" s="27"/>
      <c r="M708" s="27"/>
      <c r="N708" s="27"/>
      <c r="O708" s="27"/>
      <c r="P708" s="27"/>
      <c r="Q708" s="27"/>
      <c r="R708" s="27"/>
      <c r="S708" s="27"/>
      <c r="T708" s="27"/>
      <c r="U708" s="27"/>
      <c r="V708" s="28"/>
      <c r="W708" s="28"/>
      <c r="X708" s="28"/>
      <c r="Y708" s="28"/>
      <c r="Z708" s="28"/>
      <c r="AA708" s="28"/>
      <c r="AB708" s="28"/>
      <c r="AC708" s="28"/>
      <c r="AD708" s="28"/>
      <c r="AE708" s="28"/>
      <c r="AF708" s="28"/>
      <c r="AG708" s="28"/>
      <c r="AH708" s="28"/>
      <c r="AI708" s="28"/>
      <c r="AJ708" s="28"/>
      <c r="AK708" s="28"/>
      <c r="AL708" s="28"/>
      <c r="AM708" s="29"/>
      <c r="AN708" s="29"/>
      <c r="AO708" s="29"/>
      <c r="AP708" s="29"/>
      <c r="AQ708" s="29"/>
      <c r="AR708" s="29"/>
      <c r="AS708" s="29"/>
      <c r="AT708" s="29"/>
      <c r="AU708" s="29"/>
      <c r="AV708" s="29"/>
      <c r="AW708" s="29"/>
      <c r="AX708" s="29"/>
      <c r="AY708" s="29"/>
      <c r="AZ708" s="29"/>
      <c r="BA708" s="29"/>
      <c r="BB708" s="29"/>
      <c r="BC708" s="29"/>
      <c r="BD708" s="29"/>
      <c r="BE708" s="29"/>
      <c r="BF708" s="29"/>
      <c r="BG708" s="29"/>
      <c r="BH708" s="29"/>
      <c r="BI708" s="29"/>
      <c r="BJ708" s="29"/>
      <c r="BK708" s="29"/>
      <c r="BL708" s="29"/>
      <c r="BM708" s="29"/>
      <c r="BN708" s="29"/>
      <c r="BO708" s="29"/>
      <c r="BP708" s="29"/>
      <c r="BQ708" s="29"/>
      <c r="BR708" s="29"/>
      <c r="BS708" s="29"/>
      <c r="BT708" s="29"/>
      <c r="BU708" s="29"/>
      <c r="BV708" s="29"/>
      <c r="BW708" s="29"/>
      <c r="BX708" s="29"/>
      <c r="BY708" s="29"/>
      <c r="BZ708" s="29"/>
      <c r="CA708" s="29"/>
      <c r="CB708" s="29"/>
      <c r="CC708" s="29"/>
      <c r="CD708" s="29"/>
      <c r="CE708" s="29"/>
      <c r="CF708" s="29"/>
      <c r="CG708" s="29"/>
      <c r="CH708" s="29"/>
      <c r="CI708" s="29"/>
      <c r="CJ708" s="29"/>
      <c r="CK708" s="29"/>
      <c r="CL708" s="29"/>
      <c r="CM708" s="29"/>
      <c r="CN708" s="29"/>
      <c r="CO708" s="29"/>
      <c r="CP708" s="29"/>
      <c r="CQ708" s="29"/>
      <c r="CR708" s="29"/>
      <c r="CS708" s="29"/>
      <c r="CT708" s="29"/>
      <c r="CU708" s="29"/>
      <c r="CV708" s="29"/>
      <c r="CW708" s="29"/>
      <c r="CX708" s="29"/>
      <c r="CY708" s="29"/>
      <c r="CZ708" s="29"/>
      <c r="DA708" s="29"/>
      <c r="DB708" s="29"/>
      <c r="DC708" s="29"/>
      <c r="DD708" s="29"/>
      <c r="DE708" s="29"/>
      <c r="DF708" s="29"/>
      <c r="DG708" s="29"/>
      <c r="DH708" s="29"/>
      <c r="DI708" s="29"/>
      <c r="DJ708" s="29"/>
    </row>
    <row r="709" spans="1:114" s="38" customFormat="1" ht="41.25" customHeight="1">
      <c r="A709" s="245" t="s">
        <v>1100</v>
      </c>
      <c r="B709" s="284" t="s">
        <v>1101</v>
      </c>
      <c r="C709" s="284"/>
      <c r="D709" s="284"/>
      <c r="E709" s="284"/>
      <c r="F709" s="284"/>
      <c r="G709" s="284"/>
      <c r="H709" s="284"/>
      <c r="I709" s="284"/>
      <c r="J709" s="37"/>
      <c r="K709" s="27"/>
      <c r="L709" s="27"/>
      <c r="M709" s="27"/>
      <c r="N709" s="27"/>
      <c r="O709" s="27"/>
      <c r="P709" s="27"/>
      <c r="Q709" s="27"/>
      <c r="R709" s="27"/>
      <c r="S709" s="27"/>
      <c r="T709" s="27"/>
      <c r="U709" s="27"/>
      <c r="V709" s="28"/>
      <c r="W709" s="28"/>
      <c r="X709" s="28"/>
      <c r="Y709" s="28"/>
      <c r="Z709" s="28"/>
      <c r="AA709" s="28"/>
      <c r="AB709" s="28"/>
      <c r="AC709" s="28"/>
      <c r="AD709" s="28"/>
      <c r="AE709" s="28"/>
      <c r="AF709" s="28"/>
      <c r="AG709" s="28"/>
      <c r="AH709" s="28"/>
      <c r="AI709" s="28"/>
      <c r="AJ709" s="28"/>
      <c r="AK709" s="28"/>
      <c r="AL709" s="28"/>
      <c r="AM709" s="29"/>
      <c r="AN709" s="29"/>
      <c r="AO709" s="29"/>
      <c r="AP709" s="29"/>
      <c r="AQ709" s="29"/>
      <c r="AR709" s="29"/>
      <c r="AS709" s="29"/>
      <c r="AT709" s="29"/>
      <c r="AU709" s="29"/>
      <c r="AV709" s="29"/>
      <c r="AW709" s="29"/>
      <c r="AX709" s="29"/>
      <c r="AY709" s="29"/>
      <c r="AZ709" s="29"/>
      <c r="BA709" s="29"/>
      <c r="BB709" s="29"/>
      <c r="BC709" s="29"/>
      <c r="BD709" s="29"/>
      <c r="BE709" s="29"/>
      <c r="BF709" s="29"/>
      <c r="BG709" s="29"/>
      <c r="BH709" s="29"/>
      <c r="BI709" s="29"/>
      <c r="BJ709" s="29"/>
      <c r="BK709" s="29"/>
      <c r="BL709" s="29"/>
      <c r="BM709" s="29"/>
      <c r="BN709" s="29"/>
      <c r="BO709" s="29"/>
      <c r="BP709" s="29"/>
      <c r="BQ709" s="29"/>
      <c r="BR709" s="29"/>
      <c r="BS709" s="29"/>
      <c r="BT709" s="29"/>
      <c r="BU709" s="29"/>
      <c r="BV709" s="29"/>
      <c r="BW709" s="29"/>
      <c r="BX709" s="29"/>
      <c r="BY709" s="29"/>
      <c r="BZ709" s="29"/>
      <c r="CA709" s="29"/>
      <c r="CB709" s="29"/>
      <c r="CC709" s="29"/>
      <c r="CD709" s="29"/>
      <c r="CE709" s="29"/>
      <c r="CF709" s="29"/>
      <c r="CG709" s="29"/>
      <c r="CH709" s="29"/>
      <c r="CI709" s="29"/>
      <c r="CJ709" s="29"/>
      <c r="CK709" s="29"/>
      <c r="CL709" s="29"/>
      <c r="CM709" s="29"/>
      <c r="CN709" s="29"/>
      <c r="CO709" s="29"/>
      <c r="CP709" s="29"/>
      <c r="CQ709" s="29"/>
      <c r="CR709" s="29"/>
      <c r="CS709" s="29"/>
      <c r="CT709" s="29"/>
      <c r="CU709" s="29"/>
      <c r="CV709" s="29"/>
      <c r="CW709" s="29"/>
      <c r="CX709" s="29"/>
      <c r="CY709" s="29"/>
      <c r="CZ709" s="29"/>
      <c r="DA709" s="29"/>
      <c r="DB709" s="29"/>
      <c r="DC709" s="29"/>
      <c r="DD709" s="29"/>
      <c r="DE709" s="29"/>
      <c r="DF709" s="29"/>
      <c r="DG709" s="29"/>
      <c r="DH709" s="29"/>
      <c r="DI709" s="29"/>
      <c r="DJ709" s="29"/>
    </row>
    <row r="710" spans="1:114" s="38" customFormat="1" ht="15">
      <c r="A710" s="242" t="s">
        <v>550</v>
      </c>
      <c r="B710" s="288" t="s">
        <v>488</v>
      </c>
      <c r="C710" s="288"/>
      <c r="D710" s="288"/>
      <c r="E710" s="288"/>
      <c r="F710" s="288"/>
      <c r="G710" s="288"/>
      <c r="H710" s="288"/>
      <c r="I710" s="288"/>
      <c r="J710" s="37"/>
      <c r="K710" s="27"/>
      <c r="L710" s="27"/>
      <c r="M710" s="27"/>
      <c r="N710" s="27"/>
      <c r="O710" s="27"/>
      <c r="P710" s="27"/>
      <c r="Q710" s="27"/>
      <c r="R710" s="27"/>
      <c r="S710" s="27"/>
      <c r="T710" s="27"/>
      <c r="U710" s="27"/>
      <c r="V710" s="28"/>
      <c r="W710" s="28"/>
      <c r="X710" s="28"/>
      <c r="Y710" s="28"/>
      <c r="Z710" s="28"/>
      <c r="AA710" s="28"/>
      <c r="AB710" s="28"/>
      <c r="AC710" s="28"/>
      <c r="AD710" s="28"/>
      <c r="AE710" s="28"/>
      <c r="AF710" s="28"/>
      <c r="AG710" s="28"/>
      <c r="AH710" s="28"/>
      <c r="AI710" s="28"/>
      <c r="AJ710" s="28"/>
      <c r="AK710" s="28"/>
      <c r="AL710" s="28"/>
      <c r="AM710" s="29"/>
      <c r="AN710" s="29"/>
      <c r="AO710" s="29"/>
      <c r="AP710" s="29"/>
      <c r="AQ710" s="29"/>
      <c r="AR710" s="29"/>
      <c r="AS710" s="29"/>
      <c r="AT710" s="29"/>
      <c r="AU710" s="29"/>
      <c r="AV710" s="29"/>
      <c r="AW710" s="29"/>
      <c r="AX710" s="29"/>
      <c r="AY710" s="29"/>
      <c r="AZ710" s="29"/>
      <c r="BA710" s="29"/>
      <c r="BB710" s="29"/>
      <c r="BC710" s="29"/>
      <c r="BD710" s="29"/>
      <c r="BE710" s="29"/>
      <c r="BF710" s="29"/>
      <c r="BG710" s="29"/>
      <c r="BH710" s="29"/>
      <c r="BI710" s="29"/>
      <c r="BJ710" s="29"/>
      <c r="BK710" s="29"/>
      <c r="BL710" s="29"/>
      <c r="BM710" s="29"/>
      <c r="BN710" s="29"/>
      <c r="BO710" s="29"/>
      <c r="BP710" s="29"/>
      <c r="BQ710" s="29"/>
      <c r="BR710" s="29"/>
      <c r="BS710" s="29"/>
      <c r="BT710" s="29"/>
      <c r="BU710" s="29"/>
      <c r="BV710" s="29"/>
      <c r="BW710" s="29"/>
      <c r="BX710" s="29"/>
      <c r="BY710" s="29"/>
      <c r="BZ710" s="29"/>
      <c r="CA710" s="29"/>
      <c r="CB710" s="29"/>
      <c r="CC710" s="29"/>
      <c r="CD710" s="29"/>
      <c r="CE710" s="29"/>
      <c r="CF710" s="29"/>
      <c r="CG710" s="29"/>
      <c r="CH710" s="29"/>
      <c r="CI710" s="29"/>
      <c r="CJ710" s="29"/>
      <c r="CK710" s="29"/>
      <c r="CL710" s="29"/>
      <c r="CM710" s="29"/>
      <c r="CN710" s="29"/>
      <c r="CO710" s="29"/>
      <c r="CP710" s="29"/>
      <c r="CQ710" s="29"/>
      <c r="CR710" s="29"/>
      <c r="CS710" s="29"/>
      <c r="CT710" s="29"/>
      <c r="CU710" s="29"/>
      <c r="CV710" s="29"/>
      <c r="CW710" s="29"/>
      <c r="CX710" s="29"/>
      <c r="CY710" s="29"/>
      <c r="CZ710" s="29"/>
      <c r="DA710" s="29"/>
      <c r="DB710" s="29"/>
      <c r="DC710" s="29"/>
      <c r="DD710" s="29"/>
      <c r="DE710" s="29"/>
      <c r="DF710" s="29"/>
      <c r="DG710" s="29"/>
      <c r="DH710" s="29"/>
      <c r="DI710" s="29"/>
      <c r="DJ710" s="29"/>
    </row>
    <row r="711" spans="1:114" s="38" customFormat="1" ht="27.75" customHeight="1">
      <c r="A711" s="242" t="s">
        <v>254</v>
      </c>
      <c r="B711" s="288" t="s">
        <v>766</v>
      </c>
      <c r="C711" s="288"/>
      <c r="D711" s="288"/>
      <c r="E711" s="288"/>
      <c r="F711" s="288"/>
      <c r="G711" s="288"/>
      <c r="H711" s="288"/>
      <c r="I711" s="288"/>
      <c r="J711" s="37"/>
      <c r="K711" s="27"/>
      <c r="L711" s="27"/>
      <c r="M711" s="27"/>
      <c r="N711" s="27"/>
      <c r="O711" s="27"/>
      <c r="P711" s="27"/>
      <c r="Q711" s="27"/>
      <c r="R711" s="27"/>
      <c r="S711" s="27"/>
      <c r="T711" s="27"/>
      <c r="U711" s="27"/>
      <c r="V711" s="28"/>
      <c r="W711" s="28"/>
      <c r="X711" s="28"/>
      <c r="Y711" s="28"/>
      <c r="Z711" s="28"/>
      <c r="AA711" s="28"/>
      <c r="AB711" s="28"/>
      <c r="AC711" s="28"/>
      <c r="AD711" s="28"/>
      <c r="AE711" s="28"/>
      <c r="AF711" s="28"/>
      <c r="AG711" s="28"/>
      <c r="AH711" s="28"/>
      <c r="AI711" s="28"/>
      <c r="AJ711" s="28"/>
      <c r="AK711" s="28"/>
      <c r="AL711" s="28"/>
      <c r="AM711" s="29"/>
      <c r="AN711" s="29"/>
      <c r="AO711" s="29"/>
      <c r="AP711" s="29"/>
      <c r="AQ711" s="29"/>
      <c r="AR711" s="29"/>
      <c r="AS711" s="29"/>
      <c r="AT711" s="29"/>
      <c r="AU711" s="29"/>
      <c r="AV711" s="29"/>
      <c r="AW711" s="29"/>
      <c r="AX711" s="29"/>
      <c r="AY711" s="29"/>
      <c r="AZ711" s="29"/>
      <c r="BA711" s="29"/>
      <c r="BB711" s="29"/>
      <c r="BC711" s="29"/>
      <c r="BD711" s="29"/>
      <c r="BE711" s="29"/>
      <c r="BF711" s="29"/>
      <c r="BG711" s="29"/>
      <c r="BH711" s="29"/>
      <c r="BI711" s="29"/>
      <c r="BJ711" s="29"/>
      <c r="BK711" s="29"/>
      <c r="BL711" s="29"/>
      <c r="BM711" s="29"/>
      <c r="BN711" s="29"/>
      <c r="BO711" s="29"/>
      <c r="BP711" s="29"/>
      <c r="BQ711" s="29"/>
      <c r="BR711" s="29"/>
      <c r="BS711" s="29"/>
      <c r="BT711" s="29"/>
      <c r="BU711" s="29"/>
      <c r="BV711" s="29"/>
      <c r="BW711" s="29"/>
      <c r="BX711" s="29"/>
      <c r="BY711" s="29"/>
      <c r="BZ711" s="29"/>
      <c r="CA711" s="29"/>
      <c r="CB711" s="29"/>
      <c r="CC711" s="29"/>
      <c r="CD711" s="29"/>
      <c r="CE711" s="29"/>
      <c r="CF711" s="29"/>
      <c r="CG711" s="29"/>
      <c r="CH711" s="29"/>
      <c r="CI711" s="29"/>
      <c r="CJ711" s="29"/>
      <c r="CK711" s="29"/>
      <c r="CL711" s="29"/>
      <c r="CM711" s="29"/>
      <c r="CN711" s="29"/>
      <c r="CO711" s="29"/>
      <c r="CP711" s="29"/>
      <c r="CQ711" s="29"/>
      <c r="CR711" s="29"/>
      <c r="CS711" s="29"/>
      <c r="CT711" s="29"/>
      <c r="CU711" s="29"/>
      <c r="CV711" s="29"/>
      <c r="CW711" s="29"/>
      <c r="CX711" s="29"/>
      <c r="CY711" s="29"/>
      <c r="CZ711" s="29"/>
      <c r="DA711" s="29"/>
      <c r="DB711" s="29"/>
      <c r="DC711" s="29"/>
      <c r="DD711" s="29"/>
      <c r="DE711" s="29"/>
      <c r="DF711" s="29"/>
      <c r="DG711" s="29"/>
      <c r="DH711" s="29"/>
      <c r="DI711" s="29"/>
      <c r="DJ711" s="29"/>
    </row>
    <row r="712" spans="1:114" s="38" customFormat="1" ht="15">
      <c r="A712" s="242" t="s">
        <v>196</v>
      </c>
      <c r="B712" s="288" t="s">
        <v>279</v>
      </c>
      <c r="C712" s="288"/>
      <c r="D712" s="288"/>
      <c r="E712" s="288"/>
      <c r="F712" s="288"/>
      <c r="G712" s="288"/>
      <c r="H712" s="288"/>
      <c r="I712" s="288"/>
      <c r="J712" s="37"/>
      <c r="K712" s="27"/>
      <c r="L712" s="27"/>
      <c r="M712" s="27"/>
      <c r="N712" s="27"/>
      <c r="O712" s="27"/>
      <c r="P712" s="27"/>
      <c r="Q712" s="27"/>
      <c r="R712" s="27"/>
      <c r="S712" s="27"/>
      <c r="T712" s="27"/>
      <c r="U712" s="27"/>
      <c r="V712" s="28"/>
      <c r="W712" s="28"/>
      <c r="X712" s="28"/>
      <c r="Y712" s="28"/>
      <c r="Z712" s="28"/>
      <c r="AA712" s="28"/>
      <c r="AB712" s="28"/>
      <c r="AC712" s="28"/>
      <c r="AD712" s="28"/>
      <c r="AE712" s="28"/>
      <c r="AF712" s="28"/>
      <c r="AG712" s="28"/>
      <c r="AH712" s="28"/>
      <c r="AI712" s="28"/>
      <c r="AJ712" s="28"/>
      <c r="AK712" s="28"/>
      <c r="AL712" s="28"/>
      <c r="AM712" s="29"/>
      <c r="AN712" s="29"/>
      <c r="AO712" s="29"/>
      <c r="AP712" s="29"/>
      <c r="AQ712" s="29"/>
      <c r="AR712" s="29"/>
      <c r="AS712" s="29"/>
      <c r="AT712" s="29"/>
      <c r="AU712" s="29"/>
      <c r="AV712" s="29"/>
      <c r="AW712" s="29"/>
      <c r="AX712" s="29"/>
      <c r="AY712" s="29"/>
      <c r="AZ712" s="29"/>
      <c r="BA712" s="29"/>
      <c r="BB712" s="29"/>
      <c r="BC712" s="29"/>
      <c r="BD712" s="29"/>
      <c r="BE712" s="29"/>
      <c r="BF712" s="29"/>
      <c r="BG712" s="29"/>
      <c r="BH712" s="29"/>
      <c r="BI712" s="29"/>
      <c r="BJ712" s="29"/>
      <c r="BK712" s="29"/>
      <c r="BL712" s="29"/>
      <c r="BM712" s="29"/>
      <c r="BN712" s="29"/>
      <c r="BO712" s="29"/>
      <c r="BP712" s="29"/>
      <c r="BQ712" s="29"/>
      <c r="BR712" s="29"/>
      <c r="BS712" s="29"/>
      <c r="BT712" s="29"/>
      <c r="BU712" s="29"/>
      <c r="BV712" s="29"/>
      <c r="BW712" s="29"/>
      <c r="BX712" s="29"/>
      <c r="BY712" s="29"/>
      <c r="BZ712" s="29"/>
      <c r="CA712" s="29"/>
      <c r="CB712" s="29"/>
      <c r="CC712" s="29"/>
      <c r="CD712" s="29"/>
      <c r="CE712" s="29"/>
      <c r="CF712" s="29"/>
      <c r="CG712" s="29"/>
      <c r="CH712" s="29"/>
      <c r="CI712" s="29"/>
      <c r="CJ712" s="29"/>
      <c r="CK712" s="29"/>
      <c r="CL712" s="29"/>
      <c r="CM712" s="29"/>
      <c r="CN712" s="29"/>
      <c r="CO712" s="29"/>
      <c r="CP712" s="29"/>
      <c r="CQ712" s="29"/>
      <c r="CR712" s="29"/>
      <c r="CS712" s="29"/>
      <c r="CT712" s="29"/>
      <c r="CU712" s="29"/>
      <c r="CV712" s="29"/>
      <c r="CW712" s="29"/>
      <c r="CX712" s="29"/>
      <c r="CY712" s="29"/>
      <c r="CZ712" s="29"/>
      <c r="DA712" s="29"/>
      <c r="DB712" s="29"/>
      <c r="DC712" s="29"/>
      <c r="DD712" s="29"/>
      <c r="DE712" s="29"/>
      <c r="DF712" s="29"/>
      <c r="DG712" s="29"/>
      <c r="DH712" s="29"/>
      <c r="DI712" s="29"/>
      <c r="DJ712" s="29"/>
    </row>
    <row r="713" spans="1:114" s="38" customFormat="1" ht="73.5" customHeight="1">
      <c r="A713" s="240"/>
      <c r="B713" s="288" t="s">
        <v>661</v>
      </c>
      <c r="C713" s="288"/>
      <c r="D713" s="288"/>
      <c r="E713" s="288"/>
      <c r="F713" s="288"/>
      <c r="G713" s="288"/>
      <c r="H713" s="288"/>
      <c r="I713" s="288"/>
      <c r="J713" s="37"/>
      <c r="K713" s="27"/>
      <c r="L713" s="27"/>
      <c r="M713" s="27"/>
      <c r="N713" s="27"/>
      <c r="O713" s="27"/>
      <c r="P713" s="27"/>
      <c r="Q713" s="27"/>
      <c r="R713" s="27"/>
      <c r="S713" s="27"/>
      <c r="T713" s="27"/>
      <c r="U713" s="27"/>
      <c r="V713" s="28"/>
      <c r="W713" s="28"/>
      <c r="X713" s="28"/>
      <c r="Y713" s="28"/>
      <c r="Z713" s="28"/>
      <c r="AA713" s="28"/>
      <c r="AB713" s="28"/>
      <c r="AC713" s="28"/>
      <c r="AD713" s="28"/>
      <c r="AE713" s="28"/>
      <c r="AF713" s="28"/>
      <c r="AG713" s="28"/>
      <c r="AH713" s="28"/>
      <c r="AI713" s="28"/>
      <c r="AJ713" s="28"/>
      <c r="AK713" s="28"/>
      <c r="AL713" s="28"/>
      <c r="AM713" s="29"/>
      <c r="AN713" s="29"/>
      <c r="AO713" s="29"/>
      <c r="AP713" s="29"/>
      <c r="AQ713" s="29"/>
      <c r="AR713" s="29"/>
      <c r="AS713" s="29"/>
      <c r="AT713" s="29"/>
      <c r="AU713" s="29"/>
      <c r="AV713" s="29"/>
      <c r="AW713" s="29"/>
      <c r="AX713" s="29"/>
      <c r="AY713" s="29"/>
      <c r="AZ713" s="29"/>
      <c r="BA713" s="29"/>
      <c r="BB713" s="29"/>
      <c r="BC713" s="29"/>
      <c r="BD713" s="29"/>
      <c r="BE713" s="29"/>
      <c r="BF713" s="29"/>
      <c r="BG713" s="29"/>
      <c r="BH713" s="29"/>
      <c r="BI713" s="29"/>
      <c r="BJ713" s="29"/>
      <c r="BK713" s="29"/>
      <c r="BL713" s="29"/>
      <c r="BM713" s="29"/>
      <c r="BN713" s="29"/>
      <c r="BO713" s="29"/>
      <c r="BP713" s="29"/>
      <c r="BQ713" s="29"/>
      <c r="BR713" s="29"/>
      <c r="BS713" s="29"/>
      <c r="BT713" s="29"/>
      <c r="BU713" s="29"/>
      <c r="BV713" s="29"/>
      <c r="BW713" s="29"/>
      <c r="BX713" s="29"/>
      <c r="BY713" s="29"/>
      <c r="BZ713" s="29"/>
      <c r="CA713" s="29"/>
      <c r="CB713" s="29"/>
      <c r="CC713" s="29"/>
      <c r="CD713" s="29"/>
      <c r="CE713" s="29"/>
      <c r="CF713" s="29"/>
      <c r="CG713" s="29"/>
      <c r="CH713" s="29"/>
      <c r="CI713" s="29"/>
      <c r="CJ713" s="29"/>
      <c r="CK713" s="29"/>
      <c r="CL713" s="29"/>
      <c r="CM713" s="29"/>
      <c r="CN713" s="29"/>
      <c r="CO713" s="29"/>
      <c r="CP713" s="29"/>
      <c r="CQ713" s="29"/>
      <c r="CR713" s="29"/>
      <c r="CS713" s="29"/>
      <c r="CT713" s="29"/>
      <c r="CU713" s="29"/>
      <c r="CV713" s="29"/>
      <c r="CW713" s="29"/>
      <c r="CX713" s="29"/>
      <c r="CY713" s="29"/>
      <c r="CZ713" s="29"/>
      <c r="DA713" s="29"/>
      <c r="DB713" s="29"/>
      <c r="DC713" s="29"/>
      <c r="DD713" s="29"/>
      <c r="DE713" s="29"/>
      <c r="DF713" s="29"/>
      <c r="DG713" s="29"/>
      <c r="DH713" s="29"/>
      <c r="DI713" s="29"/>
      <c r="DJ713" s="29"/>
    </row>
    <row r="714" spans="1:114" s="38" customFormat="1" ht="15">
      <c r="A714" s="242" t="s">
        <v>479</v>
      </c>
      <c r="B714" s="288" t="s">
        <v>480</v>
      </c>
      <c r="C714" s="288"/>
      <c r="D714" s="288"/>
      <c r="E714" s="288"/>
      <c r="F714" s="288"/>
      <c r="G714" s="288"/>
      <c r="H714" s="288"/>
      <c r="I714" s="288"/>
      <c r="J714" s="37"/>
      <c r="K714" s="27"/>
      <c r="L714" s="27"/>
      <c r="M714" s="27"/>
      <c r="N714" s="27"/>
      <c r="O714" s="27"/>
      <c r="P714" s="27"/>
      <c r="Q714" s="27"/>
      <c r="R714" s="27"/>
      <c r="S714" s="27"/>
      <c r="T714" s="27"/>
      <c r="U714" s="27"/>
      <c r="V714" s="28"/>
      <c r="W714" s="28"/>
      <c r="X714" s="28"/>
      <c r="Y714" s="28"/>
      <c r="Z714" s="28"/>
      <c r="AA714" s="28"/>
      <c r="AB714" s="28"/>
      <c r="AC714" s="28"/>
      <c r="AD714" s="28"/>
      <c r="AE714" s="28"/>
      <c r="AF714" s="28"/>
      <c r="AG714" s="28"/>
      <c r="AH714" s="28"/>
      <c r="AI714" s="28"/>
      <c r="AJ714" s="28"/>
      <c r="AK714" s="28"/>
      <c r="AL714" s="28"/>
      <c r="AM714" s="29"/>
      <c r="AN714" s="29"/>
      <c r="AO714" s="29"/>
      <c r="AP714" s="29"/>
      <c r="AQ714" s="29"/>
      <c r="AR714" s="29"/>
      <c r="AS714" s="29"/>
      <c r="AT714" s="29"/>
      <c r="AU714" s="29"/>
      <c r="AV714" s="29"/>
      <c r="AW714" s="29"/>
      <c r="AX714" s="29"/>
      <c r="AY714" s="29"/>
      <c r="AZ714" s="29"/>
      <c r="BA714" s="29"/>
      <c r="BB714" s="29"/>
      <c r="BC714" s="29"/>
      <c r="BD714" s="29"/>
      <c r="BE714" s="29"/>
      <c r="BF714" s="29"/>
      <c r="BG714" s="29"/>
      <c r="BH714" s="29"/>
      <c r="BI714" s="29"/>
      <c r="BJ714" s="29"/>
      <c r="BK714" s="29"/>
      <c r="BL714" s="29"/>
      <c r="BM714" s="29"/>
      <c r="BN714" s="29"/>
      <c r="BO714" s="29"/>
      <c r="BP714" s="29"/>
      <c r="BQ714" s="29"/>
      <c r="BR714" s="29"/>
      <c r="BS714" s="29"/>
      <c r="BT714" s="29"/>
      <c r="BU714" s="29"/>
      <c r="BV714" s="29"/>
      <c r="BW714" s="29"/>
      <c r="BX714" s="29"/>
      <c r="BY714" s="29"/>
      <c r="BZ714" s="29"/>
      <c r="CA714" s="29"/>
      <c r="CB714" s="29"/>
      <c r="CC714" s="29"/>
      <c r="CD714" s="29"/>
      <c r="CE714" s="29"/>
      <c r="CF714" s="29"/>
      <c r="CG714" s="29"/>
      <c r="CH714" s="29"/>
      <c r="CI714" s="29"/>
      <c r="CJ714" s="29"/>
      <c r="CK714" s="29"/>
      <c r="CL714" s="29"/>
      <c r="CM714" s="29"/>
      <c r="CN714" s="29"/>
      <c r="CO714" s="29"/>
      <c r="CP714" s="29"/>
      <c r="CQ714" s="29"/>
      <c r="CR714" s="29"/>
      <c r="CS714" s="29"/>
      <c r="CT714" s="29"/>
      <c r="CU714" s="29"/>
      <c r="CV714" s="29"/>
      <c r="CW714" s="29"/>
      <c r="CX714" s="29"/>
      <c r="CY714" s="29"/>
      <c r="CZ714" s="29"/>
      <c r="DA714" s="29"/>
      <c r="DB714" s="29"/>
      <c r="DC714" s="29"/>
      <c r="DD714" s="29"/>
      <c r="DE714" s="29"/>
      <c r="DF714" s="29"/>
      <c r="DG714" s="29"/>
      <c r="DH714" s="29"/>
      <c r="DI714" s="29"/>
      <c r="DJ714" s="29"/>
    </row>
    <row r="715" spans="1:114" s="38" customFormat="1" ht="28.5" customHeight="1">
      <c r="A715" s="242" t="s">
        <v>163</v>
      </c>
      <c r="B715" s="288" t="s">
        <v>662</v>
      </c>
      <c r="C715" s="288"/>
      <c r="D715" s="288"/>
      <c r="E715" s="288"/>
      <c r="F715" s="288"/>
      <c r="G715" s="288"/>
      <c r="H715" s="288"/>
      <c r="I715" s="288"/>
      <c r="J715" s="37"/>
      <c r="K715" s="27"/>
      <c r="L715" s="27"/>
      <c r="M715" s="27"/>
      <c r="N715" s="27"/>
      <c r="O715" s="27"/>
      <c r="P715" s="27"/>
      <c r="Q715" s="27"/>
      <c r="R715" s="27"/>
      <c r="S715" s="27"/>
      <c r="T715" s="27"/>
      <c r="U715" s="27"/>
      <c r="V715" s="28"/>
      <c r="W715" s="28"/>
      <c r="X715" s="28"/>
      <c r="Y715" s="28"/>
      <c r="Z715" s="28"/>
      <c r="AA715" s="28"/>
      <c r="AB715" s="28"/>
      <c r="AC715" s="28"/>
      <c r="AD715" s="28"/>
      <c r="AE715" s="28"/>
      <c r="AF715" s="28"/>
      <c r="AG715" s="28"/>
      <c r="AH715" s="28"/>
      <c r="AI715" s="28"/>
      <c r="AJ715" s="28"/>
      <c r="AK715" s="28"/>
      <c r="AL715" s="28"/>
      <c r="AM715" s="29"/>
      <c r="AN715" s="29"/>
      <c r="AO715" s="29"/>
      <c r="AP715" s="29"/>
      <c r="AQ715" s="29"/>
      <c r="AR715" s="29"/>
      <c r="AS715" s="29"/>
      <c r="AT715" s="29"/>
      <c r="AU715" s="29"/>
      <c r="AV715" s="29"/>
      <c r="AW715" s="29"/>
      <c r="AX715" s="29"/>
      <c r="AY715" s="29"/>
      <c r="AZ715" s="29"/>
      <c r="BA715" s="29"/>
      <c r="BB715" s="29"/>
      <c r="BC715" s="29"/>
      <c r="BD715" s="29"/>
      <c r="BE715" s="29"/>
      <c r="BF715" s="29"/>
      <c r="BG715" s="29"/>
      <c r="BH715" s="29"/>
      <c r="BI715" s="29"/>
      <c r="BJ715" s="29"/>
      <c r="BK715" s="29"/>
      <c r="BL715" s="29"/>
      <c r="BM715" s="29"/>
      <c r="BN715" s="29"/>
      <c r="BO715" s="29"/>
      <c r="BP715" s="29"/>
      <c r="BQ715" s="29"/>
      <c r="BR715" s="29"/>
      <c r="BS715" s="29"/>
      <c r="BT715" s="29"/>
      <c r="BU715" s="29"/>
      <c r="BV715" s="29"/>
      <c r="BW715" s="29"/>
      <c r="BX715" s="29"/>
      <c r="BY715" s="29"/>
      <c r="BZ715" s="29"/>
      <c r="CA715" s="29"/>
      <c r="CB715" s="29"/>
      <c r="CC715" s="29"/>
      <c r="CD715" s="29"/>
      <c r="CE715" s="29"/>
      <c r="CF715" s="29"/>
      <c r="CG715" s="29"/>
      <c r="CH715" s="29"/>
      <c r="CI715" s="29"/>
      <c r="CJ715" s="29"/>
      <c r="CK715" s="29"/>
      <c r="CL715" s="29"/>
      <c r="CM715" s="29"/>
      <c r="CN715" s="29"/>
      <c r="CO715" s="29"/>
      <c r="CP715" s="29"/>
      <c r="CQ715" s="29"/>
      <c r="CR715" s="29"/>
      <c r="CS715" s="29"/>
      <c r="CT715" s="29"/>
      <c r="CU715" s="29"/>
      <c r="CV715" s="29"/>
      <c r="CW715" s="29"/>
      <c r="CX715" s="29"/>
      <c r="CY715" s="29"/>
      <c r="CZ715" s="29"/>
      <c r="DA715" s="29"/>
      <c r="DB715" s="29"/>
      <c r="DC715" s="29"/>
      <c r="DD715" s="29"/>
      <c r="DE715" s="29"/>
      <c r="DF715" s="29"/>
      <c r="DG715" s="29"/>
      <c r="DH715" s="29"/>
      <c r="DI715" s="29"/>
      <c r="DJ715" s="29"/>
    </row>
    <row r="716" spans="1:114" s="38" customFormat="1" ht="27.75" customHeight="1">
      <c r="A716" s="242" t="s">
        <v>281</v>
      </c>
      <c r="B716" s="288" t="s">
        <v>663</v>
      </c>
      <c r="C716" s="288"/>
      <c r="D716" s="288"/>
      <c r="E716" s="288"/>
      <c r="F716" s="288"/>
      <c r="G716" s="288"/>
      <c r="H716" s="288"/>
      <c r="I716" s="288"/>
      <c r="J716" s="37"/>
      <c r="K716" s="27"/>
      <c r="L716" s="27"/>
      <c r="M716" s="27"/>
      <c r="N716" s="27"/>
      <c r="O716" s="27"/>
      <c r="P716" s="27"/>
      <c r="Q716" s="27"/>
      <c r="R716" s="27"/>
      <c r="S716" s="27"/>
      <c r="T716" s="27"/>
      <c r="U716" s="27"/>
      <c r="V716" s="28"/>
      <c r="W716" s="28"/>
      <c r="X716" s="28"/>
      <c r="Y716" s="28"/>
      <c r="Z716" s="28"/>
      <c r="AA716" s="28"/>
      <c r="AB716" s="28"/>
      <c r="AC716" s="28"/>
      <c r="AD716" s="28"/>
      <c r="AE716" s="28"/>
      <c r="AF716" s="28"/>
      <c r="AG716" s="28"/>
      <c r="AH716" s="28"/>
      <c r="AI716" s="28"/>
      <c r="AJ716" s="28"/>
      <c r="AK716" s="28"/>
      <c r="AL716" s="28"/>
      <c r="AM716" s="29"/>
      <c r="AN716" s="29"/>
      <c r="AO716" s="29"/>
      <c r="AP716" s="29"/>
      <c r="AQ716" s="29"/>
      <c r="AR716" s="29"/>
      <c r="AS716" s="29"/>
      <c r="AT716" s="29"/>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row>
    <row r="717" spans="1:114" s="38" customFormat="1" ht="44.25" customHeight="1">
      <c r="A717" s="242" t="s">
        <v>405</v>
      </c>
      <c r="B717" s="288" t="s">
        <v>664</v>
      </c>
      <c r="C717" s="288"/>
      <c r="D717" s="288"/>
      <c r="E717" s="288"/>
      <c r="F717" s="288"/>
      <c r="G717" s="288"/>
      <c r="H717" s="288"/>
      <c r="I717" s="288"/>
      <c r="J717" s="37"/>
      <c r="K717" s="27"/>
      <c r="L717" s="27"/>
      <c r="M717" s="27"/>
      <c r="N717" s="27"/>
      <c r="O717" s="27"/>
      <c r="P717" s="27"/>
      <c r="Q717" s="27"/>
      <c r="R717" s="27"/>
      <c r="S717" s="27"/>
      <c r="T717" s="27"/>
      <c r="U717" s="27"/>
      <c r="V717" s="28"/>
      <c r="W717" s="28"/>
      <c r="X717" s="28"/>
      <c r="Y717" s="28"/>
      <c r="Z717" s="28"/>
      <c r="AA717" s="28"/>
      <c r="AB717" s="28"/>
      <c r="AC717" s="28"/>
      <c r="AD717" s="28"/>
      <c r="AE717" s="28"/>
      <c r="AF717" s="28"/>
      <c r="AG717" s="28"/>
      <c r="AH717" s="28"/>
      <c r="AI717" s="28"/>
      <c r="AJ717" s="28"/>
      <c r="AK717" s="28"/>
      <c r="AL717" s="28"/>
      <c r="AM717" s="29"/>
      <c r="AN717" s="29"/>
      <c r="AO717" s="29"/>
      <c r="AP717" s="29"/>
      <c r="AQ717" s="29"/>
      <c r="AR717" s="29"/>
      <c r="AS717" s="29"/>
      <c r="AT717" s="29"/>
      <c r="AU717" s="29"/>
      <c r="AV717" s="29"/>
      <c r="AW717" s="29"/>
      <c r="AX717" s="29"/>
      <c r="AY717" s="29"/>
      <c r="AZ717" s="29"/>
      <c r="BA717" s="29"/>
      <c r="BB717" s="29"/>
      <c r="BC717" s="29"/>
      <c r="BD717" s="29"/>
      <c r="BE717" s="29"/>
      <c r="BF717" s="29"/>
      <c r="BG717" s="29"/>
      <c r="BH717" s="29"/>
      <c r="BI717" s="29"/>
      <c r="BJ717" s="29"/>
      <c r="BK717" s="29"/>
      <c r="BL717" s="29"/>
      <c r="BM717" s="29"/>
      <c r="BN717" s="29"/>
      <c r="BO717" s="29"/>
      <c r="BP717" s="29"/>
      <c r="BQ717" s="29"/>
      <c r="BR717" s="29"/>
      <c r="BS717" s="29"/>
      <c r="BT717" s="29"/>
      <c r="BU717" s="29"/>
      <c r="BV717" s="29"/>
      <c r="BW717" s="29"/>
      <c r="BX717" s="29"/>
      <c r="BY717" s="29"/>
      <c r="BZ717" s="29"/>
      <c r="CA717" s="29"/>
      <c r="CB717" s="29"/>
      <c r="CC717" s="29"/>
      <c r="CD717" s="29"/>
      <c r="CE717" s="29"/>
      <c r="CF717" s="29"/>
      <c r="CG717" s="29"/>
      <c r="CH717" s="29"/>
      <c r="CI717" s="29"/>
      <c r="CJ717" s="29"/>
      <c r="CK717" s="29"/>
      <c r="CL717" s="29"/>
      <c r="CM717" s="29"/>
      <c r="CN717" s="29"/>
      <c r="CO717" s="29"/>
      <c r="CP717" s="29"/>
      <c r="CQ717" s="29"/>
      <c r="CR717" s="29"/>
      <c r="CS717" s="29"/>
      <c r="CT717" s="29"/>
      <c r="CU717" s="29"/>
      <c r="CV717" s="29"/>
      <c r="CW717" s="29"/>
      <c r="CX717" s="29"/>
      <c r="CY717" s="29"/>
      <c r="CZ717" s="29"/>
      <c r="DA717" s="29"/>
      <c r="DB717" s="29"/>
      <c r="DC717" s="29"/>
      <c r="DD717" s="29"/>
      <c r="DE717" s="29"/>
      <c r="DF717" s="29"/>
      <c r="DG717" s="29"/>
      <c r="DH717" s="29"/>
      <c r="DI717" s="29"/>
      <c r="DJ717" s="29"/>
    </row>
    <row r="718" spans="1:114" s="38" customFormat="1" ht="15">
      <c r="A718" s="242" t="s">
        <v>419</v>
      </c>
      <c r="B718" s="288" t="s">
        <v>420</v>
      </c>
      <c r="C718" s="288"/>
      <c r="D718" s="288"/>
      <c r="E718" s="288"/>
      <c r="F718" s="288"/>
      <c r="G718" s="288"/>
      <c r="H718" s="288"/>
      <c r="I718" s="288"/>
      <c r="J718" s="37"/>
      <c r="K718" s="27"/>
      <c r="L718" s="27"/>
      <c r="M718" s="27"/>
      <c r="N718" s="27"/>
      <c r="O718" s="27"/>
      <c r="P718" s="27"/>
      <c r="Q718" s="27"/>
      <c r="R718" s="27"/>
      <c r="S718" s="27"/>
      <c r="T718" s="27"/>
      <c r="U718" s="27"/>
      <c r="V718" s="28"/>
      <c r="W718" s="28"/>
      <c r="X718" s="28"/>
      <c r="Y718" s="28"/>
      <c r="Z718" s="28"/>
      <c r="AA718" s="28"/>
      <c r="AB718" s="28"/>
      <c r="AC718" s="28"/>
      <c r="AD718" s="28"/>
      <c r="AE718" s="28"/>
      <c r="AF718" s="28"/>
      <c r="AG718" s="28"/>
      <c r="AH718" s="28"/>
      <c r="AI718" s="28"/>
      <c r="AJ718" s="28"/>
      <c r="AK718" s="28"/>
      <c r="AL718" s="28"/>
      <c r="AM718" s="29"/>
      <c r="AN718" s="29"/>
      <c r="AO718" s="29"/>
      <c r="AP718" s="29"/>
      <c r="AQ718" s="29"/>
      <c r="AR718" s="29"/>
      <c r="AS718" s="29"/>
      <c r="AT718" s="29"/>
      <c r="AU718" s="29"/>
      <c r="AV718" s="29"/>
      <c r="AW718" s="29"/>
      <c r="AX718" s="29"/>
      <c r="AY718" s="29"/>
      <c r="AZ718" s="29"/>
      <c r="BA718" s="29"/>
      <c r="BB718" s="29"/>
      <c r="BC718" s="29"/>
      <c r="BD718" s="29"/>
      <c r="BE718" s="29"/>
      <c r="BF718" s="29"/>
      <c r="BG718" s="29"/>
      <c r="BH718" s="29"/>
      <c r="BI718" s="29"/>
      <c r="BJ718" s="29"/>
      <c r="BK718" s="29"/>
      <c r="BL718" s="29"/>
      <c r="BM718" s="29"/>
      <c r="BN718" s="29"/>
      <c r="BO718" s="29"/>
      <c r="BP718" s="29"/>
      <c r="BQ718" s="29"/>
      <c r="BR718" s="29"/>
      <c r="BS718" s="29"/>
      <c r="BT718" s="29"/>
      <c r="BU718" s="29"/>
      <c r="BV718" s="29"/>
      <c r="BW718" s="29"/>
      <c r="BX718" s="29"/>
      <c r="BY718" s="29"/>
      <c r="BZ718" s="29"/>
      <c r="CA718" s="29"/>
      <c r="CB718" s="29"/>
      <c r="CC718" s="29"/>
      <c r="CD718" s="29"/>
      <c r="CE718" s="29"/>
      <c r="CF718" s="29"/>
      <c r="CG718" s="29"/>
      <c r="CH718" s="29"/>
      <c r="CI718" s="29"/>
      <c r="CJ718" s="29"/>
      <c r="CK718" s="29"/>
      <c r="CL718" s="29"/>
      <c r="CM718" s="29"/>
      <c r="CN718" s="29"/>
      <c r="CO718" s="29"/>
      <c r="CP718" s="29"/>
      <c r="CQ718" s="29"/>
      <c r="CR718" s="29"/>
      <c r="CS718" s="29"/>
      <c r="CT718" s="29"/>
      <c r="CU718" s="29"/>
      <c r="CV718" s="29"/>
      <c r="CW718" s="29"/>
      <c r="CX718" s="29"/>
      <c r="CY718" s="29"/>
      <c r="CZ718" s="29"/>
      <c r="DA718" s="29"/>
      <c r="DB718" s="29"/>
      <c r="DC718" s="29"/>
      <c r="DD718" s="29"/>
      <c r="DE718" s="29"/>
      <c r="DF718" s="29"/>
      <c r="DG718" s="29"/>
      <c r="DH718" s="29"/>
      <c r="DI718" s="29"/>
      <c r="DJ718" s="29"/>
    </row>
    <row r="719" spans="1:114" s="38" customFormat="1" ht="15">
      <c r="A719" s="242"/>
      <c r="B719" s="288" t="s">
        <v>421</v>
      </c>
      <c r="C719" s="288"/>
      <c r="D719" s="288"/>
      <c r="E719" s="288"/>
      <c r="F719" s="288"/>
      <c r="G719" s="288"/>
      <c r="H719" s="288"/>
      <c r="I719" s="288"/>
      <c r="J719" s="37"/>
      <c r="K719" s="27"/>
      <c r="L719" s="27"/>
      <c r="M719" s="27"/>
      <c r="N719" s="27"/>
      <c r="O719" s="27"/>
      <c r="P719" s="27"/>
      <c r="Q719" s="27"/>
      <c r="R719" s="27"/>
      <c r="S719" s="27"/>
      <c r="T719" s="27"/>
      <c r="U719" s="27"/>
      <c r="V719" s="28"/>
      <c r="W719" s="28"/>
      <c r="X719" s="28"/>
      <c r="Y719" s="28"/>
      <c r="Z719" s="28"/>
      <c r="AA719" s="28"/>
      <c r="AB719" s="28"/>
      <c r="AC719" s="28"/>
      <c r="AD719" s="28"/>
      <c r="AE719" s="28"/>
      <c r="AF719" s="28"/>
      <c r="AG719" s="28"/>
      <c r="AH719" s="28"/>
      <c r="AI719" s="28"/>
      <c r="AJ719" s="28"/>
      <c r="AK719" s="28"/>
      <c r="AL719" s="28"/>
      <c r="AM719" s="29"/>
      <c r="AN719" s="29"/>
      <c r="AO719" s="29"/>
      <c r="AP719" s="29"/>
      <c r="AQ719" s="29"/>
      <c r="AR719" s="29"/>
      <c r="AS719" s="29"/>
      <c r="AT719" s="29"/>
      <c r="AU719" s="29"/>
      <c r="AV719" s="29"/>
      <c r="AW719" s="29"/>
      <c r="AX719" s="29"/>
      <c r="AY719" s="29"/>
      <c r="AZ719" s="29"/>
      <c r="BA719" s="29"/>
      <c r="BB719" s="29"/>
      <c r="BC719" s="29"/>
      <c r="BD719" s="29"/>
      <c r="BE719" s="29"/>
      <c r="BF719" s="29"/>
      <c r="BG719" s="29"/>
      <c r="BH719" s="29"/>
      <c r="BI719" s="29"/>
      <c r="BJ719" s="29"/>
      <c r="BK719" s="29"/>
      <c r="BL719" s="29"/>
      <c r="BM719" s="29"/>
      <c r="BN719" s="29"/>
      <c r="BO719" s="29"/>
      <c r="BP719" s="29"/>
      <c r="BQ719" s="29"/>
      <c r="BR719" s="29"/>
      <c r="BS719" s="29"/>
      <c r="BT719" s="29"/>
      <c r="BU719" s="29"/>
      <c r="BV719" s="29"/>
      <c r="BW719" s="29"/>
      <c r="BX719" s="29"/>
      <c r="BY719" s="29"/>
      <c r="BZ719" s="29"/>
      <c r="CA719" s="29"/>
      <c r="CB719" s="29"/>
      <c r="CC719" s="29"/>
      <c r="CD719" s="29"/>
      <c r="CE719" s="29"/>
      <c r="CF719" s="29"/>
      <c r="CG719" s="29"/>
      <c r="CH719" s="29"/>
      <c r="CI719" s="29"/>
      <c r="CJ719" s="29"/>
      <c r="CK719" s="29"/>
      <c r="CL719" s="29"/>
      <c r="CM719" s="29"/>
      <c r="CN719" s="29"/>
      <c r="CO719" s="29"/>
      <c r="CP719" s="29"/>
      <c r="CQ719" s="29"/>
      <c r="CR719" s="29"/>
      <c r="CS719" s="29"/>
      <c r="CT719" s="29"/>
      <c r="CU719" s="29"/>
      <c r="CV719" s="29"/>
      <c r="CW719" s="29"/>
      <c r="CX719" s="29"/>
      <c r="CY719" s="29"/>
      <c r="CZ719" s="29"/>
      <c r="DA719" s="29"/>
      <c r="DB719" s="29"/>
      <c r="DC719" s="29"/>
      <c r="DD719" s="29"/>
      <c r="DE719" s="29"/>
      <c r="DF719" s="29"/>
      <c r="DG719" s="29"/>
      <c r="DH719" s="29"/>
      <c r="DI719" s="29"/>
      <c r="DJ719" s="29"/>
    </row>
    <row r="720" spans="1:114" s="38" customFormat="1" ht="15">
      <c r="A720" s="242" t="s">
        <v>422</v>
      </c>
      <c r="B720" s="288" t="s">
        <v>448</v>
      </c>
      <c r="C720" s="288"/>
      <c r="D720" s="288"/>
      <c r="E720" s="288"/>
      <c r="F720" s="288"/>
      <c r="G720" s="288"/>
      <c r="H720" s="288"/>
      <c r="I720" s="288"/>
      <c r="J720" s="37"/>
      <c r="K720" s="27"/>
      <c r="L720" s="27"/>
      <c r="M720" s="27"/>
      <c r="N720" s="27"/>
      <c r="O720" s="27"/>
      <c r="P720" s="27"/>
      <c r="Q720" s="27"/>
      <c r="R720" s="27"/>
      <c r="S720" s="27"/>
      <c r="T720" s="27"/>
      <c r="U720" s="27"/>
      <c r="V720" s="28"/>
      <c r="W720" s="28"/>
      <c r="X720" s="28"/>
      <c r="Y720" s="28"/>
      <c r="Z720" s="28"/>
      <c r="AA720" s="28"/>
      <c r="AB720" s="28"/>
      <c r="AC720" s="28"/>
      <c r="AD720" s="28"/>
      <c r="AE720" s="28"/>
      <c r="AF720" s="28"/>
      <c r="AG720" s="28"/>
      <c r="AH720" s="28"/>
      <c r="AI720" s="28"/>
      <c r="AJ720" s="28"/>
      <c r="AK720" s="28"/>
      <c r="AL720" s="28"/>
      <c r="AM720" s="29"/>
      <c r="AN720" s="29"/>
      <c r="AO720" s="29"/>
      <c r="AP720" s="29"/>
      <c r="AQ720" s="29"/>
      <c r="AR720" s="29"/>
      <c r="AS720" s="29"/>
      <c r="AT720" s="29"/>
      <c r="AU720" s="29"/>
      <c r="AV720" s="29"/>
      <c r="AW720" s="29"/>
      <c r="AX720" s="29"/>
      <c r="AY720" s="29"/>
      <c r="AZ720" s="29"/>
      <c r="BA720" s="29"/>
      <c r="BB720" s="29"/>
      <c r="BC720" s="29"/>
      <c r="BD720" s="29"/>
      <c r="BE720" s="29"/>
      <c r="BF720" s="29"/>
      <c r="BG720" s="29"/>
      <c r="BH720" s="29"/>
      <c r="BI720" s="29"/>
      <c r="BJ720" s="29"/>
      <c r="BK720" s="29"/>
      <c r="BL720" s="29"/>
      <c r="BM720" s="29"/>
      <c r="BN720" s="29"/>
      <c r="BO720" s="29"/>
      <c r="BP720" s="29"/>
      <c r="BQ720" s="29"/>
      <c r="BR720" s="29"/>
      <c r="BS720" s="29"/>
      <c r="BT720" s="29"/>
      <c r="BU720" s="29"/>
      <c r="BV720" s="29"/>
      <c r="BW720" s="29"/>
      <c r="BX720" s="29"/>
      <c r="BY720" s="29"/>
      <c r="BZ720" s="29"/>
      <c r="CA720" s="29"/>
      <c r="CB720" s="29"/>
      <c r="CC720" s="29"/>
      <c r="CD720" s="29"/>
      <c r="CE720" s="29"/>
      <c r="CF720" s="29"/>
      <c r="CG720" s="29"/>
      <c r="CH720" s="29"/>
      <c r="CI720" s="29"/>
      <c r="CJ720" s="29"/>
      <c r="CK720" s="29"/>
      <c r="CL720" s="29"/>
      <c r="CM720" s="29"/>
      <c r="CN720" s="29"/>
      <c r="CO720" s="29"/>
      <c r="CP720" s="29"/>
      <c r="CQ720" s="29"/>
      <c r="CR720" s="29"/>
      <c r="CS720" s="29"/>
      <c r="CT720" s="29"/>
      <c r="CU720" s="29"/>
      <c r="CV720" s="29"/>
      <c r="CW720" s="29"/>
      <c r="CX720" s="29"/>
      <c r="CY720" s="29"/>
      <c r="CZ720" s="29"/>
      <c r="DA720" s="29"/>
      <c r="DB720" s="29"/>
      <c r="DC720" s="29"/>
      <c r="DD720" s="29"/>
      <c r="DE720" s="29"/>
      <c r="DF720" s="29"/>
      <c r="DG720" s="29"/>
      <c r="DH720" s="29"/>
      <c r="DI720" s="29"/>
      <c r="DJ720" s="29"/>
    </row>
    <row r="721" spans="1:114" s="38" customFormat="1" ht="15">
      <c r="A721" s="242" t="s">
        <v>438</v>
      </c>
      <c r="B721" s="288" t="s">
        <v>449</v>
      </c>
      <c r="C721" s="288"/>
      <c r="D721" s="288"/>
      <c r="E721" s="288"/>
      <c r="F721" s="288"/>
      <c r="G721" s="288"/>
      <c r="H721" s="288"/>
      <c r="I721" s="288"/>
      <c r="J721" s="37"/>
      <c r="K721" s="27"/>
      <c r="L721" s="27"/>
      <c r="M721" s="27"/>
      <c r="N721" s="27"/>
      <c r="O721" s="27"/>
      <c r="P721" s="27"/>
      <c r="Q721" s="27"/>
      <c r="R721" s="27"/>
      <c r="S721" s="27"/>
      <c r="T721" s="27"/>
      <c r="U721" s="27"/>
      <c r="V721" s="28"/>
      <c r="W721" s="28"/>
      <c r="X721" s="28"/>
      <c r="Y721" s="28"/>
      <c r="Z721" s="28"/>
      <c r="AA721" s="28"/>
      <c r="AB721" s="28"/>
      <c r="AC721" s="28"/>
      <c r="AD721" s="28"/>
      <c r="AE721" s="28"/>
      <c r="AF721" s="28"/>
      <c r="AG721" s="28"/>
      <c r="AH721" s="28"/>
      <c r="AI721" s="28"/>
      <c r="AJ721" s="28"/>
      <c r="AK721" s="28"/>
      <c r="AL721" s="28"/>
      <c r="AM721" s="29"/>
      <c r="AN721" s="29"/>
      <c r="AO721" s="29"/>
      <c r="AP721" s="29"/>
      <c r="AQ721" s="29"/>
      <c r="AR721" s="29"/>
      <c r="AS721" s="29"/>
      <c r="AT721" s="29"/>
      <c r="AU721" s="29"/>
      <c r="AV721" s="29"/>
      <c r="AW721" s="29"/>
      <c r="AX721" s="29"/>
      <c r="AY721" s="29"/>
      <c r="AZ721" s="29"/>
      <c r="BA721" s="29"/>
      <c r="BB721" s="29"/>
      <c r="BC721" s="29"/>
      <c r="BD721" s="29"/>
      <c r="BE721" s="29"/>
      <c r="BF721" s="29"/>
      <c r="BG721" s="29"/>
      <c r="BH721" s="29"/>
      <c r="BI721" s="29"/>
      <c r="BJ721" s="29"/>
      <c r="BK721" s="29"/>
      <c r="BL721" s="29"/>
      <c r="BM721" s="29"/>
      <c r="BN721" s="29"/>
      <c r="BO721" s="29"/>
      <c r="BP721" s="29"/>
      <c r="BQ721" s="29"/>
      <c r="BR721" s="29"/>
      <c r="BS721" s="29"/>
      <c r="BT721" s="29"/>
      <c r="BU721" s="29"/>
      <c r="BV721" s="29"/>
      <c r="BW721" s="29"/>
      <c r="BX721" s="29"/>
      <c r="BY721" s="29"/>
      <c r="BZ721" s="29"/>
      <c r="CA721" s="29"/>
      <c r="CB721" s="29"/>
      <c r="CC721" s="29"/>
      <c r="CD721" s="29"/>
      <c r="CE721" s="29"/>
      <c r="CF721" s="29"/>
      <c r="CG721" s="29"/>
      <c r="CH721" s="29"/>
      <c r="CI721" s="29"/>
      <c r="CJ721" s="29"/>
      <c r="CK721" s="29"/>
      <c r="CL721" s="29"/>
      <c r="CM721" s="29"/>
      <c r="CN721" s="29"/>
      <c r="CO721" s="29"/>
      <c r="CP721" s="29"/>
      <c r="CQ721" s="29"/>
      <c r="CR721" s="29"/>
      <c r="CS721" s="29"/>
      <c r="CT721" s="29"/>
      <c r="CU721" s="29"/>
      <c r="CV721" s="29"/>
      <c r="CW721" s="29"/>
      <c r="CX721" s="29"/>
      <c r="CY721" s="29"/>
      <c r="CZ721" s="29"/>
      <c r="DA721" s="29"/>
      <c r="DB721" s="29"/>
      <c r="DC721" s="29"/>
      <c r="DD721" s="29"/>
      <c r="DE721" s="29"/>
      <c r="DF721" s="29"/>
      <c r="DG721" s="29"/>
      <c r="DH721" s="29"/>
      <c r="DI721" s="29"/>
      <c r="DJ721" s="29"/>
    </row>
    <row r="722" spans="1:114" s="38" customFormat="1" ht="15">
      <c r="A722" s="242" t="s">
        <v>651</v>
      </c>
      <c r="B722" s="288" t="s">
        <v>580</v>
      </c>
      <c r="C722" s="288"/>
      <c r="D722" s="288"/>
      <c r="E722" s="288"/>
      <c r="F722" s="288"/>
      <c r="G722" s="288"/>
      <c r="H722" s="288"/>
      <c r="I722" s="288"/>
      <c r="J722" s="37"/>
      <c r="K722" s="27"/>
      <c r="L722" s="27"/>
      <c r="M722" s="27"/>
      <c r="N722" s="27"/>
      <c r="O722" s="27"/>
      <c r="P722" s="27"/>
      <c r="Q722" s="27"/>
      <c r="R722" s="27"/>
      <c r="S722" s="27"/>
      <c r="T722" s="27"/>
      <c r="U722" s="27"/>
      <c r="V722" s="28"/>
      <c r="W722" s="28"/>
      <c r="X722" s="28"/>
      <c r="Y722" s="28"/>
      <c r="Z722" s="28"/>
      <c r="AA722" s="28"/>
      <c r="AB722" s="28"/>
      <c r="AC722" s="28"/>
      <c r="AD722" s="28"/>
      <c r="AE722" s="28"/>
      <c r="AF722" s="28"/>
      <c r="AG722" s="28"/>
      <c r="AH722" s="28"/>
      <c r="AI722" s="28"/>
      <c r="AJ722" s="28"/>
      <c r="AK722" s="28"/>
      <c r="AL722" s="28"/>
      <c r="AM722" s="29"/>
      <c r="AN722" s="29"/>
      <c r="AO722" s="29"/>
      <c r="AP722" s="29"/>
      <c r="AQ722" s="29"/>
      <c r="AR722" s="29"/>
      <c r="AS722" s="29"/>
      <c r="AT722" s="29"/>
      <c r="AU722" s="29"/>
      <c r="AV722" s="29"/>
      <c r="AW722" s="29"/>
      <c r="AX722" s="29"/>
      <c r="AY722" s="29"/>
      <c r="AZ722" s="29"/>
      <c r="BA722" s="29"/>
      <c r="BB722" s="29"/>
      <c r="BC722" s="29"/>
      <c r="BD722" s="29"/>
      <c r="BE722" s="29"/>
      <c r="BF722" s="29"/>
      <c r="BG722" s="29"/>
      <c r="BH722" s="29"/>
      <c r="BI722" s="29"/>
      <c r="BJ722" s="29"/>
      <c r="BK722" s="29"/>
      <c r="BL722" s="29"/>
      <c r="BM722" s="29"/>
      <c r="BN722" s="29"/>
      <c r="BO722" s="29"/>
      <c r="BP722" s="29"/>
      <c r="BQ722" s="29"/>
      <c r="BR722" s="29"/>
      <c r="BS722" s="29"/>
      <c r="BT722" s="29"/>
      <c r="BU722" s="29"/>
      <c r="BV722" s="29"/>
      <c r="BW722" s="29"/>
      <c r="BX722" s="29"/>
      <c r="BY722" s="29"/>
      <c r="BZ722" s="29"/>
      <c r="CA722" s="29"/>
      <c r="CB722" s="29"/>
      <c r="CC722" s="29"/>
      <c r="CD722" s="29"/>
      <c r="CE722" s="29"/>
      <c r="CF722" s="29"/>
      <c r="CG722" s="29"/>
      <c r="CH722" s="29"/>
      <c r="CI722" s="29"/>
      <c r="CJ722" s="29"/>
      <c r="CK722" s="29"/>
      <c r="CL722" s="29"/>
      <c r="CM722" s="29"/>
      <c r="CN722" s="29"/>
      <c r="CO722" s="29"/>
      <c r="CP722" s="29"/>
      <c r="CQ722" s="29"/>
      <c r="CR722" s="29"/>
      <c r="CS722" s="29"/>
      <c r="CT722" s="29"/>
      <c r="CU722" s="29"/>
      <c r="CV722" s="29"/>
      <c r="CW722" s="29"/>
      <c r="CX722" s="29"/>
      <c r="CY722" s="29"/>
      <c r="CZ722" s="29"/>
      <c r="DA722" s="29"/>
      <c r="DB722" s="29"/>
      <c r="DC722" s="29"/>
      <c r="DD722" s="29"/>
      <c r="DE722" s="29"/>
      <c r="DF722" s="29"/>
      <c r="DG722" s="29"/>
      <c r="DH722" s="29"/>
      <c r="DI722" s="29"/>
      <c r="DJ722" s="29"/>
    </row>
    <row r="723" spans="1:114" s="38" customFormat="1" ht="15">
      <c r="A723" s="242" t="s">
        <v>630</v>
      </c>
      <c r="B723" s="288" t="s">
        <v>631</v>
      </c>
      <c r="C723" s="288"/>
      <c r="D723" s="288"/>
      <c r="E723" s="288"/>
      <c r="F723" s="288"/>
      <c r="G723" s="288"/>
      <c r="H723" s="288"/>
      <c r="I723" s="288"/>
      <c r="J723" s="37"/>
      <c r="K723" s="27"/>
      <c r="L723" s="27"/>
      <c r="M723" s="27"/>
      <c r="N723" s="27"/>
      <c r="O723" s="27"/>
      <c r="P723" s="27"/>
      <c r="Q723" s="27"/>
      <c r="R723" s="27"/>
      <c r="S723" s="27"/>
      <c r="T723" s="27"/>
      <c r="U723" s="27"/>
      <c r="V723" s="28"/>
      <c r="W723" s="28"/>
      <c r="X723" s="28"/>
      <c r="Y723" s="28"/>
      <c r="Z723" s="28"/>
      <c r="AA723" s="28"/>
      <c r="AB723" s="28"/>
      <c r="AC723" s="28"/>
      <c r="AD723" s="28"/>
      <c r="AE723" s="28"/>
      <c r="AF723" s="28"/>
      <c r="AG723" s="28"/>
      <c r="AH723" s="28"/>
      <c r="AI723" s="28"/>
      <c r="AJ723" s="28"/>
      <c r="AK723" s="28"/>
      <c r="AL723" s="28"/>
      <c r="AM723" s="29"/>
      <c r="AN723" s="29"/>
      <c r="AO723" s="29"/>
      <c r="AP723" s="29"/>
      <c r="AQ723" s="29"/>
      <c r="AR723" s="29"/>
      <c r="AS723" s="29"/>
      <c r="AT723" s="29"/>
      <c r="AU723" s="29"/>
      <c r="AV723" s="29"/>
      <c r="AW723" s="29"/>
      <c r="AX723" s="29"/>
      <c r="AY723" s="29"/>
      <c r="AZ723" s="29"/>
      <c r="BA723" s="29"/>
      <c r="BB723" s="29"/>
      <c r="BC723" s="29"/>
      <c r="BD723" s="29"/>
      <c r="BE723" s="29"/>
      <c r="BF723" s="29"/>
      <c r="BG723" s="29"/>
      <c r="BH723" s="29"/>
      <c r="BI723" s="29"/>
      <c r="BJ723" s="29"/>
      <c r="BK723" s="29"/>
      <c r="BL723" s="29"/>
      <c r="BM723" s="29"/>
      <c r="BN723" s="29"/>
      <c r="BO723" s="29"/>
      <c r="BP723" s="29"/>
      <c r="BQ723" s="29"/>
      <c r="BR723" s="29"/>
      <c r="BS723" s="29"/>
      <c r="BT723" s="29"/>
      <c r="BU723" s="29"/>
      <c r="BV723" s="29"/>
      <c r="BW723" s="29"/>
      <c r="BX723" s="29"/>
      <c r="BY723" s="29"/>
      <c r="BZ723" s="29"/>
      <c r="CA723" s="29"/>
      <c r="CB723" s="29"/>
      <c r="CC723" s="29"/>
      <c r="CD723" s="29"/>
      <c r="CE723" s="29"/>
      <c r="CF723" s="29"/>
      <c r="CG723" s="29"/>
      <c r="CH723" s="29"/>
      <c r="CI723" s="29"/>
      <c r="CJ723" s="29"/>
      <c r="CK723" s="29"/>
      <c r="CL723" s="29"/>
      <c r="CM723" s="29"/>
      <c r="CN723" s="29"/>
      <c r="CO723" s="29"/>
      <c r="CP723" s="29"/>
      <c r="CQ723" s="29"/>
      <c r="CR723" s="29"/>
      <c r="CS723" s="29"/>
      <c r="CT723" s="29"/>
      <c r="CU723" s="29"/>
      <c r="CV723" s="29"/>
      <c r="CW723" s="29"/>
      <c r="CX723" s="29"/>
      <c r="CY723" s="29"/>
      <c r="CZ723" s="29"/>
      <c r="DA723" s="29"/>
      <c r="DB723" s="29"/>
      <c r="DC723" s="29"/>
      <c r="DD723" s="29"/>
      <c r="DE723" s="29"/>
      <c r="DF723" s="29"/>
      <c r="DG723" s="29"/>
      <c r="DH723" s="29"/>
      <c r="DI723" s="29"/>
      <c r="DJ723" s="29"/>
    </row>
    <row r="724" spans="1:114" s="38" customFormat="1" ht="15">
      <c r="A724" s="251"/>
      <c r="B724" s="289" t="s">
        <v>1119</v>
      </c>
      <c r="C724" s="290"/>
      <c r="D724" s="290"/>
      <c r="E724" s="246"/>
      <c r="F724" s="246"/>
      <c r="G724" s="244"/>
      <c r="H724" s="240"/>
      <c r="I724" s="244"/>
      <c r="J724" s="37"/>
      <c r="K724" s="27"/>
      <c r="L724" s="27"/>
      <c r="M724" s="27"/>
      <c r="N724" s="27"/>
      <c r="O724" s="27"/>
      <c r="P724" s="27"/>
      <c r="Q724" s="27"/>
      <c r="R724" s="27"/>
      <c r="S724" s="27"/>
      <c r="T724" s="27"/>
      <c r="U724" s="27"/>
      <c r="V724" s="28"/>
      <c r="W724" s="28"/>
      <c r="X724" s="28"/>
      <c r="Y724" s="28"/>
      <c r="Z724" s="28"/>
      <c r="AA724" s="28"/>
      <c r="AB724" s="28"/>
      <c r="AC724" s="28"/>
      <c r="AD724" s="28"/>
      <c r="AE724" s="28"/>
      <c r="AF724" s="28"/>
      <c r="AG724" s="28"/>
      <c r="AH724" s="28"/>
      <c r="AI724" s="28"/>
      <c r="AJ724" s="28"/>
      <c r="AK724" s="28"/>
      <c r="AL724" s="28"/>
      <c r="AM724" s="29"/>
      <c r="AN724" s="29"/>
      <c r="AO724" s="29"/>
      <c r="AP724" s="29"/>
      <c r="AQ724" s="29"/>
      <c r="AR724" s="29"/>
      <c r="AS724" s="29"/>
      <c r="AT724" s="29"/>
      <c r="AU724" s="29"/>
      <c r="AV724" s="29"/>
      <c r="AW724" s="29"/>
      <c r="AX724" s="29"/>
      <c r="AY724" s="29"/>
      <c r="AZ724" s="29"/>
      <c r="BA724" s="29"/>
      <c r="BB724" s="29"/>
      <c r="BC724" s="29"/>
      <c r="BD724" s="29"/>
      <c r="BE724" s="29"/>
      <c r="BF724" s="29"/>
      <c r="BG724" s="29"/>
      <c r="BH724" s="29"/>
      <c r="BI724" s="29"/>
      <c r="BJ724" s="29"/>
      <c r="BK724" s="29"/>
      <c r="BL724" s="29"/>
      <c r="BM724" s="29"/>
      <c r="BN724" s="29"/>
      <c r="BO724" s="29"/>
      <c r="BP724" s="29"/>
      <c r="BQ724" s="29"/>
      <c r="BR724" s="29"/>
      <c r="BS724" s="29"/>
      <c r="BT724" s="29"/>
      <c r="BU724" s="29"/>
      <c r="BV724" s="29"/>
      <c r="BW724" s="29"/>
      <c r="BX724" s="29"/>
      <c r="BY724" s="29"/>
      <c r="BZ724" s="29"/>
      <c r="CA724" s="29"/>
      <c r="CB724" s="29"/>
      <c r="CC724" s="29"/>
      <c r="CD724" s="29"/>
      <c r="CE724" s="29"/>
      <c r="CF724" s="29"/>
      <c r="CG724" s="29"/>
      <c r="CH724" s="29"/>
      <c r="CI724" s="29"/>
      <c r="CJ724" s="29"/>
      <c r="CK724" s="29"/>
      <c r="CL724" s="29"/>
      <c r="CM724" s="29"/>
      <c r="CN724" s="29"/>
      <c r="CO724" s="29"/>
      <c r="CP724" s="29"/>
      <c r="CQ724" s="29"/>
      <c r="CR724" s="29"/>
      <c r="CS724" s="29"/>
      <c r="CT724" s="29"/>
      <c r="CU724" s="29"/>
      <c r="CV724" s="29"/>
      <c r="CW724" s="29"/>
      <c r="CX724" s="29"/>
      <c r="CY724" s="29"/>
      <c r="CZ724" s="29"/>
      <c r="DA724" s="29"/>
      <c r="DB724" s="29"/>
      <c r="DC724" s="29"/>
      <c r="DD724" s="29"/>
      <c r="DE724" s="29"/>
      <c r="DF724" s="29"/>
      <c r="DG724" s="29"/>
      <c r="DH724" s="29"/>
      <c r="DI724" s="29"/>
      <c r="DJ724" s="29"/>
    </row>
    <row r="725" spans="1:9" ht="18">
      <c r="A725" s="11"/>
      <c r="B725" s="10"/>
      <c r="C725" s="10"/>
      <c r="D725" s="10"/>
      <c r="E725" s="10"/>
      <c r="F725" s="10"/>
      <c r="G725" s="14"/>
      <c r="H725" s="10"/>
      <c r="I725" s="14"/>
    </row>
    <row r="726" spans="1:9" ht="15.75" customHeight="1">
      <c r="A726" s="5"/>
      <c r="B726" s="5"/>
      <c r="C726" s="7"/>
      <c r="D726" s="5"/>
      <c r="E726" s="7"/>
      <c r="F726" s="9"/>
      <c r="G726" s="12"/>
      <c r="H726" s="9"/>
      <c r="I726" s="13"/>
    </row>
  </sheetData>
  <sheetProtection/>
  <mergeCells count="259">
    <mergeCell ref="B708:I708"/>
    <mergeCell ref="B709:I709"/>
    <mergeCell ref="B707:I707"/>
    <mergeCell ref="A307:I307"/>
    <mergeCell ref="B657:I657"/>
    <mergeCell ref="B660:I660"/>
    <mergeCell ref="B663:I663"/>
    <mergeCell ref="B694:I694"/>
    <mergeCell ref="B680:I680"/>
    <mergeCell ref="B681:I681"/>
    <mergeCell ref="B664:I664"/>
    <mergeCell ref="B653:I653"/>
    <mergeCell ref="B654:I654"/>
    <mergeCell ref="A318:I318"/>
    <mergeCell ref="B652:I652"/>
    <mergeCell ref="B667:I667"/>
    <mergeCell ref="B662:I662"/>
    <mergeCell ref="B641:I641"/>
    <mergeCell ref="B661:I661"/>
    <mergeCell ref="B658:I658"/>
    <mergeCell ref="B699:I699"/>
    <mergeCell ref="B700:I700"/>
    <mergeCell ref="B696:I696"/>
    <mergeCell ref="B697:I697"/>
    <mergeCell ref="B698:I698"/>
    <mergeCell ref="B692:I692"/>
    <mergeCell ref="B695:I695"/>
    <mergeCell ref="B669:I669"/>
    <mergeCell ref="B670:I670"/>
    <mergeCell ref="B683:I683"/>
    <mergeCell ref="B674:I674"/>
    <mergeCell ref="B679:I679"/>
    <mergeCell ref="B675:I675"/>
    <mergeCell ref="B673:I673"/>
    <mergeCell ref="B676:I676"/>
    <mergeCell ref="B689:I689"/>
    <mergeCell ref="B690:I690"/>
    <mergeCell ref="B677:I677"/>
    <mergeCell ref="B678:I678"/>
    <mergeCell ref="B666:I666"/>
    <mergeCell ref="B672:I672"/>
    <mergeCell ref="B671:I671"/>
    <mergeCell ref="B686:I686"/>
    <mergeCell ref="B684:I684"/>
    <mergeCell ref="B668:I668"/>
    <mergeCell ref="B642:I642"/>
    <mergeCell ref="B643:I643"/>
    <mergeCell ref="B665:I665"/>
    <mergeCell ref="B655:I655"/>
    <mergeCell ref="B656:I656"/>
    <mergeCell ref="B648:I648"/>
    <mergeCell ref="B644:I644"/>
    <mergeCell ref="B645:I645"/>
    <mergeCell ref="B646:I646"/>
    <mergeCell ref="B647:I647"/>
    <mergeCell ref="B723:I723"/>
    <mergeCell ref="B718:I718"/>
    <mergeCell ref="B719:I719"/>
    <mergeCell ref="B720:I720"/>
    <mergeCell ref="B701:H701"/>
    <mergeCell ref="B722:I722"/>
    <mergeCell ref="B721:I721"/>
    <mergeCell ref="B717:I717"/>
    <mergeCell ref="B702:H702"/>
    <mergeCell ref="B713:I713"/>
    <mergeCell ref="B716:I716"/>
    <mergeCell ref="B710:I710"/>
    <mergeCell ref="B711:I711"/>
    <mergeCell ref="B715:I715"/>
    <mergeCell ref="B714:I714"/>
    <mergeCell ref="B712:I712"/>
    <mergeCell ref="B703:I703"/>
    <mergeCell ref="B693:I693"/>
    <mergeCell ref="B649:I649"/>
    <mergeCell ref="B650:I650"/>
    <mergeCell ref="B687:I687"/>
    <mergeCell ref="B682:I682"/>
    <mergeCell ref="B659:I659"/>
    <mergeCell ref="B691:I691"/>
    <mergeCell ref="B685:I685"/>
    <mergeCell ref="B688:I688"/>
    <mergeCell ref="B651:I651"/>
    <mergeCell ref="B629:I629"/>
    <mergeCell ref="B630:I630"/>
    <mergeCell ref="B631:I631"/>
    <mergeCell ref="B632:I632"/>
    <mergeCell ref="B633:I633"/>
    <mergeCell ref="B637:I637"/>
    <mergeCell ref="B638:I638"/>
    <mergeCell ref="B639:I639"/>
    <mergeCell ref="B640:I640"/>
    <mergeCell ref="B635:I635"/>
    <mergeCell ref="B636:I636"/>
    <mergeCell ref="B619:I619"/>
    <mergeCell ref="B621:I621"/>
    <mergeCell ref="B620:I620"/>
    <mergeCell ref="B622:I622"/>
    <mergeCell ref="B623:I623"/>
    <mergeCell ref="B624:I624"/>
    <mergeCell ref="B625:I625"/>
    <mergeCell ref="B628:I628"/>
    <mergeCell ref="B617:I617"/>
    <mergeCell ref="B588:H588"/>
    <mergeCell ref="B615:I615"/>
    <mergeCell ref="B613:I613"/>
    <mergeCell ref="B606:I606"/>
    <mergeCell ref="B610:I610"/>
    <mergeCell ref="B614:I614"/>
    <mergeCell ref="B605:I605"/>
    <mergeCell ref="B603:I603"/>
    <mergeCell ref="B600:I600"/>
    <mergeCell ref="A4:I4"/>
    <mergeCell ref="A340:I340"/>
    <mergeCell ref="A342:I342"/>
    <mergeCell ref="A347:I347"/>
    <mergeCell ref="A8:I8"/>
    <mergeCell ref="A171:I171"/>
    <mergeCell ref="A7:I7"/>
    <mergeCell ref="A304:I304"/>
    <mergeCell ref="F5:G5"/>
    <mergeCell ref="A66:I66"/>
    <mergeCell ref="A26:I26"/>
    <mergeCell ref="A290:D290"/>
    <mergeCell ref="A298:D298"/>
    <mergeCell ref="A303:D303"/>
    <mergeCell ref="A323:I323"/>
    <mergeCell ref="B590:I590"/>
    <mergeCell ref="A238:I238"/>
    <mergeCell ref="B584:H584"/>
    <mergeCell ref="A170:D170"/>
    <mergeCell ref="B579:I579"/>
    <mergeCell ref="A281:I281"/>
    <mergeCell ref="A214:I214"/>
    <mergeCell ref="A223:I223"/>
    <mergeCell ref="A299:I299"/>
    <mergeCell ref="A260:I260"/>
    <mergeCell ref="A269:I269"/>
    <mergeCell ref="A196:I196"/>
    <mergeCell ref="A291:I291"/>
    <mergeCell ref="A11:D11"/>
    <mergeCell ref="A25:D25"/>
    <mergeCell ref="A213:D213"/>
    <mergeCell ref="A65:D65"/>
    <mergeCell ref="A97:D97"/>
    <mergeCell ref="A13:I13"/>
    <mergeCell ref="A98:I98"/>
    <mergeCell ref="A41:I41"/>
    <mergeCell ref="A40:D40"/>
    <mergeCell ref="A14:I14"/>
    <mergeCell ref="A312:I312"/>
    <mergeCell ref="A5:B5"/>
    <mergeCell ref="H5:I5"/>
    <mergeCell ref="A6:I6"/>
    <mergeCell ref="A250:I250"/>
    <mergeCell ref="A222:D222"/>
    <mergeCell ref="A237:D237"/>
    <mergeCell ref="A249:D249"/>
    <mergeCell ref="A136:D136"/>
    <mergeCell ref="A466:D466"/>
    <mergeCell ref="A195:D195"/>
    <mergeCell ref="A259:D259"/>
    <mergeCell ref="A268:D268"/>
    <mergeCell ref="A280:D280"/>
    <mergeCell ref="A137:I137"/>
    <mergeCell ref="A338:D338"/>
    <mergeCell ref="A345:D345"/>
    <mergeCell ref="A464:D464"/>
    <mergeCell ref="B616:I616"/>
    <mergeCell ref="A306:D306"/>
    <mergeCell ref="A311:D311"/>
    <mergeCell ref="A317:D317"/>
    <mergeCell ref="A322:D322"/>
    <mergeCell ref="A326:D326"/>
    <mergeCell ref="A332:D332"/>
    <mergeCell ref="A327:I327"/>
    <mergeCell ref="A330:D330"/>
    <mergeCell ref="A538:D538"/>
    <mergeCell ref="A540:D540"/>
    <mergeCell ref="B724:D724"/>
    <mergeCell ref="A553:D553"/>
    <mergeCell ref="A562:D562"/>
    <mergeCell ref="B704:I704"/>
    <mergeCell ref="B582:I582"/>
    <mergeCell ref="B583:I583"/>
    <mergeCell ref="B580:I580"/>
    <mergeCell ref="B611:I611"/>
    <mergeCell ref="B609:I609"/>
    <mergeCell ref="B577:I577"/>
    <mergeCell ref="B598:H598"/>
    <mergeCell ref="B607:I607"/>
    <mergeCell ref="B595:H595"/>
    <mergeCell ref="B596:H596"/>
    <mergeCell ref="B608:I608"/>
    <mergeCell ref="B593:H593"/>
    <mergeCell ref="B604:I604"/>
    <mergeCell ref="B594:H594"/>
    <mergeCell ref="B581:I581"/>
    <mergeCell ref="A573:D573"/>
    <mergeCell ref="B586:H586"/>
    <mergeCell ref="B585:H585"/>
    <mergeCell ref="B592:H592"/>
    <mergeCell ref="A334:I334"/>
    <mergeCell ref="B705:I705"/>
    <mergeCell ref="B706:I706"/>
    <mergeCell ref="B587:H587"/>
    <mergeCell ref="B589:H589"/>
    <mergeCell ref="B612:I612"/>
    <mergeCell ref="B626:I626"/>
    <mergeCell ref="B627:I627"/>
    <mergeCell ref="B618:I618"/>
    <mergeCell ref="B634:I634"/>
    <mergeCell ref="A350:D350"/>
    <mergeCell ref="A353:D353"/>
    <mergeCell ref="A357:D357"/>
    <mergeCell ref="A365:D365"/>
    <mergeCell ref="A367:D367"/>
    <mergeCell ref="A371:D371"/>
    <mergeCell ref="A373:D373"/>
    <mergeCell ref="A379:D379"/>
    <mergeCell ref="A384:D384"/>
    <mergeCell ref="A389:D389"/>
    <mergeCell ref="A398:D398"/>
    <mergeCell ref="A407:D407"/>
    <mergeCell ref="A417:D417"/>
    <mergeCell ref="A426:D426"/>
    <mergeCell ref="A432:D432"/>
    <mergeCell ref="A443:D443"/>
    <mergeCell ref="A452:D452"/>
    <mergeCell ref="A456:D456"/>
    <mergeCell ref="A458:D458"/>
    <mergeCell ref="A475:I475"/>
    <mergeCell ref="A470:I470"/>
    <mergeCell ref="A463:D463"/>
    <mergeCell ref="A520:D520"/>
    <mergeCell ref="A505:D505"/>
    <mergeCell ref="A511:D511"/>
    <mergeCell ref="A468:I468"/>
    <mergeCell ref="A499:I499"/>
    <mergeCell ref="A515:D515"/>
    <mergeCell ref="B601:H601"/>
    <mergeCell ref="B602:H602"/>
    <mergeCell ref="A542:D542"/>
    <mergeCell ref="A548:D548"/>
    <mergeCell ref="A574:D574"/>
    <mergeCell ref="B597:H597"/>
    <mergeCell ref="B599:H599"/>
    <mergeCell ref="B591:H591"/>
    <mergeCell ref="A572:D572"/>
    <mergeCell ref="B578:I578"/>
    <mergeCell ref="A507:I507"/>
    <mergeCell ref="A524:I524"/>
    <mergeCell ref="A555:I555"/>
    <mergeCell ref="A564:I564"/>
    <mergeCell ref="A551:D551"/>
    <mergeCell ref="A527:D527"/>
    <mergeCell ref="A529:D529"/>
    <mergeCell ref="A531:D531"/>
    <mergeCell ref="A518:D518"/>
    <mergeCell ref="A522:D522"/>
  </mergeCells>
  <printOptions horizontalCentered="1"/>
  <pageMargins left="0" right="0" top="0.4330708661417323" bottom="0.8267716535433072" header="0.1968503937007874" footer="0.1968503937007874"/>
  <pageSetup firstPageNumber="113" useFirstPageNumber="1" fitToHeight="0" fitToWidth="1" horizontalDpi="600" verticalDpi="600" orientation="portrait" paperSize="9"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COPRI</dc:creator>
  <cp:keywords/>
  <dc:description/>
  <cp:lastModifiedBy>Jaime Cueva Llanos</cp:lastModifiedBy>
  <cp:lastPrinted>2017-07-19T21:20:44Z</cp:lastPrinted>
  <dcterms:created xsi:type="dcterms:W3CDTF">1997-07-03T17:36:28Z</dcterms:created>
  <dcterms:modified xsi:type="dcterms:W3CDTF">2018-02-28T13:53:26Z</dcterms:modified>
  <cp:category/>
  <cp:version/>
  <cp:contentType/>
  <cp:contentStatus/>
</cp:coreProperties>
</file>