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45" yWindow="90" windowWidth="7530" windowHeight="6960" tabRatio="884" activeTab="0"/>
  </bookViews>
  <sheets>
    <sheet name="3.4. Concesiones" sheetId="1" r:id="rId1"/>
  </sheets>
  <definedNames>
    <definedName name="_xlnm.Print_Area" localSheetId="0">'3.4. Concesiones'!$A$1:$I$129</definedName>
    <definedName name="_xlnm.Print_Titles" localSheetId="0">'3.4. Concesiones'!$1:$5</definedName>
  </definedNames>
  <calcPr fullCalcOnLoad="1"/>
</workbook>
</file>

<file path=xl/comments1.xml><?xml version="1.0" encoding="utf-8"?>
<comments xmlns="http://schemas.openxmlformats.org/spreadsheetml/2006/main">
  <authors>
    <author>cguevara</author>
  </authors>
  <commentList>
    <comment ref="I64" authorId="0">
      <text>
        <r>
          <rPr>
            <b/>
            <sz val="8"/>
            <rFont val="Tahoma"/>
            <family val="2"/>
          </rPr>
          <t>cguevara:</t>
        </r>
        <r>
          <rPr>
            <sz val="8"/>
            <rFont val="Tahoma"/>
            <family val="2"/>
          </rPr>
          <t xml:space="preserve">
Tipo de cambio promedio de fecha de adjudicación</t>
        </r>
      </text>
    </comment>
    <comment ref="I79" authorId="0">
      <text>
        <r>
          <rPr>
            <b/>
            <sz val="8"/>
            <rFont val="Tahoma"/>
            <family val="2"/>
          </rPr>
          <t>cguevara:</t>
        </r>
        <r>
          <rPr>
            <sz val="8"/>
            <rFont val="Tahoma"/>
            <family val="2"/>
          </rPr>
          <t xml:space="preserve">
tipo de cambio promedio de fecha de adjudicación</t>
        </r>
      </text>
    </comment>
  </commentList>
</comments>
</file>

<file path=xl/sharedStrings.xml><?xml version="1.0" encoding="utf-8"?>
<sst xmlns="http://schemas.openxmlformats.org/spreadsheetml/2006/main" count="423" uniqueCount="310">
  <si>
    <t>Agricultura</t>
  </si>
  <si>
    <t>18.11.10</t>
  </si>
  <si>
    <t>27.01.95</t>
  </si>
  <si>
    <t>Turismo</t>
  </si>
  <si>
    <t>Eje Multimodal del Amazonas Norte de IIRSA</t>
  </si>
  <si>
    <t>Corredor vial Interoceánico Sur:  Tramo 2, 3 y 4</t>
  </si>
  <si>
    <t>05.05.05</t>
  </si>
  <si>
    <t>23.06.05</t>
  </si>
  <si>
    <t>31.10.06</t>
  </si>
  <si>
    <t>Tramo Empalme 1B - Buenos Aires - Canchaque</t>
  </si>
  <si>
    <t>18.12.08</t>
  </si>
  <si>
    <t>Red Vial 4: Tramos Pativilca - Trujillo</t>
  </si>
  <si>
    <t>Programa Costa Sierra: Nuevo Mocupe – Cayaltí – Oyotún</t>
  </si>
  <si>
    <t>26.01.09</t>
  </si>
  <si>
    <t>26.02.09</t>
  </si>
  <si>
    <t>16.06.93</t>
  </si>
  <si>
    <t>17.11.93</t>
  </si>
  <si>
    <t>29.03.00</t>
  </si>
  <si>
    <t>NOTAS:</t>
  </si>
  <si>
    <t xml:space="preserve">Inversiones comprometidas.                       </t>
  </si>
  <si>
    <t>12.12.00</t>
  </si>
  <si>
    <t xml:space="preserve">Concesión del Servicio de Comunicaciones Personales (PCS) por 20 años, con un pago de US$180 MM.    </t>
  </si>
  <si>
    <t xml:space="preserve">Servicio Telefonía Local y Serv.Portador Local   </t>
  </si>
  <si>
    <t>16.02.01</t>
  </si>
  <si>
    <t>L.E. Pachachaca-Oroya-Carhuamayo-D.Antamina y Aguaytía-Pucallpa</t>
  </si>
  <si>
    <t>Corredor Vial Interoceánico Sur:  Tramo 1 y 5</t>
  </si>
  <si>
    <t>09.01.08</t>
  </si>
  <si>
    <t>Servicios Públicos de Telecomunicaciones en la Banda 450 MHZ.</t>
  </si>
  <si>
    <t>18.08.06</t>
  </si>
  <si>
    <t>24.05.02</t>
  </si>
  <si>
    <t>05.06.02</t>
  </si>
  <si>
    <t>16.07.02</t>
  </si>
  <si>
    <t>08.06.09</t>
  </si>
  <si>
    <t>Banda 821-824 Mhz y 866-869 Mhz</t>
  </si>
  <si>
    <t>a17</t>
  </si>
  <si>
    <t>a18</t>
  </si>
  <si>
    <t>El consorcio se adjudicó la Buena Pro al ofrecer una retribución de 5.50% de los ingresos por peajes.</t>
  </si>
  <si>
    <t>El consorcio se adjudicó la Buena Pro al ofrecer una retribución de 35% de los ingresos por el cobro de entradas.</t>
  </si>
  <si>
    <t>B.2. CON INTERVENCIÓN DE PROINVERSIÓN (ANTES COPRI)</t>
  </si>
  <si>
    <t>12.10.09</t>
  </si>
  <si>
    <t>Suministro de energia de nuevas centrales hidroeléctricas</t>
  </si>
  <si>
    <t>06.11.09</t>
  </si>
  <si>
    <t>a19</t>
  </si>
  <si>
    <t>Incluye venta de inventarios de repuestos, materiales y otros activos de US$17 MM.</t>
  </si>
  <si>
    <t>29.08.07</t>
  </si>
  <si>
    <t>30.03.05</t>
  </si>
  <si>
    <t xml:space="preserve">TOTAL CONCESIONES (B1 + B2)   </t>
  </si>
  <si>
    <t xml:space="preserve">TOTAL     </t>
  </si>
  <si>
    <t>31.03.09</t>
  </si>
  <si>
    <t>Concesión Terminal Portuario de Paita</t>
  </si>
  <si>
    <t>Puertos</t>
  </si>
  <si>
    <t xml:space="preserve">El concesionario invertirá invertir recursos suficientes para la culminación de la obra (aproximadamente US$ 108 MM), así como para operar y mantener el sistema. </t>
  </si>
  <si>
    <t>La inversión total ascendente a US$ 184.8 MM propuesta por el concesionario, considera mayores precios de acero y cemento, costos de obras de adecuación del Oleoducto Nor Peruano, entre otros rubros, lo que que implican un incremento adicional al presupuesto original de inversiones registrado.</t>
  </si>
  <si>
    <t>17.05.04</t>
  </si>
  <si>
    <t>a20</t>
  </si>
  <si>
    <t xml:space="preserve">El Gobierno Nacional asumirá el reembolso del financiamiento por US$ 77 MM y sus intereses. </t>
  </si>
  <si>
    <t>a23</t>
  </si>
  <si>
    <t>El Consorcio se adjudicó la Buena Pro de la concesión del Muelle Sur, al ofrecer la tarifa de US$ 90 por contenedores de 20 pies y US$ 135.18 por contenedores de 40 pies.   Asimismo, realizará una inversión total de US$ 617 MM.</t>
  </si>
  <si>
    <t>12.04.06</t>
  </si>
  <si>
    <t>19.06.06</t>
  </si>
  <si>
    <t>28.12.07</t>
  </si>
  <si>
    <t>Servicios Públicos de Telecomunicaciones en la Banda 900 MHZ.</t>
  </si>
  <si>
    <t>15.11.00</t>
  </si>
  <si>
    <t>a16</t>
  </si>
  <si>
    <t>El consorcio ofertó una retribución de 46.511% y una inversión de US$1,214 MM a ser realizadas durante los 30 años de la concesión.</t>
  </si>
  <si>
    <t>Se estima que el Estado percibirá ingresos de US$5,328 MM en términos corrientes durante dicho periodo.</t>
  </si>
  <si>
    <t>07.11.08</t>
  </si>
  <si>
    <t>Programa Costa – Sierra: Ovalo Chancay – Desvío Variante Pasamayo - Huaral – Acos</t>
  </si>
  <si>
    <t>15.09.10</t>
  </si>
  <si>
    <t>Majes - Siguas II</t>
  </si>
  <si>
    <t>Línea de Transmisión Eléctrica Chilca - La Planicie - Zapallal</t>
  </si>
  <si>
    <t>17.06.08</t>
  </si>
  <si>
    <t>Concesión del Proyecto Chillón por 27 años, implica una inversión aproximada de US$80 Millones en los dos primeros años.</t>
  </si>
  <si>
    <t>a1</t>
  </si>
  <si>
    <t>Concesión por 6 años.  Durante el plazo de la concesión, Corpac recibirá el 65% de los ingresos brutos.</t>
  </si>
  <si>
    <t>a2</t>
  </si>
  <si>
    <t>Concesión por 6 años.  Corpac recibirá el 30.79% de los ingresos brutos por venta durante el plazo de la concesión.</t>
  </si>
  <si>
    <t>a3</t>
  </si>
  <si>
    <t>11.01.00</t>
  </si>
  <si>
    <t>Saneamiento</t>
  </si>
  <si>
    <t>a10</t>
  </si>
  <si>
    <t>26.02.08</t>
  </si>
  <si>
    <t>Línea de Transmisión Eléctrica Carhuamayo – Paragsha – Conococha – Huallanca – Cajamarca – Cerro Corona – Carhuaquero</t>
  </si>
  <si>
    <t>24.10.08</t>
  </si>
  <si>
    <t>Abastecimiento de Agua Potable para Lima (Huascacocha - Rímac)</t>
  </si>
  <si>
    <t>TOTAL</t>
  </si>
  <si>
    <t>a9</t>
  </si>
  <si>
    <t>20.10.00</t>
  </si>
  <si>
    <t>a15</t>
  </si>
  <si>
    <t>a14</t>
  </si>
  <si>
    <t>Concesión de una banda del Servicio Telefonía Fija Local y Servicio Portador Local a la empresa Millicom, con un pago de US$9.85 MM.</t>
  </si>
  <si>
    <t>Concesión de una banda del Servicio Telefonía Fija Local y Servicio Portador Local a la empresa Telefónica del Perú, con un pago de US$9.70 MM.</t>
  </si>
  <si>
    <t>20.06.00</t>
  </si>
  <si>
    <t>a12</t>
  </si>
  <si>
    <t>a13</t>
  </si>
  <si>
    <t xml:space="preserve">B. CONCESIONES </t>
  </si>
  <si>
    <t>B.1.   CON INTERVENCIÓN DE PROMCEPRI</t>
  </si>
  <si>
    <t>15.01.98</t>
  </si>
  <si>
    <t>07.05.98</t>
  </si>
  <si>
    <t>Línea de Transmisión Eléctrica Mantaro Socabaya</t>
  </si>
  <si>
    <t>Banda B de Telefonía Celular fuera de Lima</t>
  </si>
  <si>
    <t>EMPRESA / PROYECTO</t>
  </si>
  <si>
    <t>27.07.07</t>
  </si>
  <si>
    <t>Servicio de Comunicaciones Personales Bandas D y E</t>
  </si>
  <si>
    <t>Servicio Público Mobil en la Banda B</t>
  </si>
  <si>
    <t>29.01.99</t>
  </si>
  <si>
    <t>a7</t>
  </si>
  <si>
    <t>31.05.99</t>
  </si>
  <si>
    <t>a8</t>
  </si>
  <si>
    <t>21.07.99</t>
  </si>
  <si>
    <t>07.09.10</t>
  </si>
  <si>
    <t>Segundo Grupo de Aeropuertos Regionales</t>
  </si>
  <si>
    <t xml:space="preserve">Servicio de Comunicaciones Personales-PCS (Banda C) </t>
  </si>
  <si>
    <t>25.04.08</t>
  </si>
  <si>
    <t>Gasoducto Regional de Ica</t>
  </si>
  <si>
    <t>29.04.08</t>
  </si>
  <si>
    <t>Línea de Transmisión Eléctrica Mantaro - Caravelí - Montalvo y Machu Picchu Cotaruse</t>
  </si>
  <si>
    <t>19.06.09</t>
  </si>
  <si>
    <t>Concesión Autopista del Sol Tramo Trujillo-Sullana</t>
  </si>
  <si>
    <t>FECHA</t>
  </si>
  <si>
    <t>SECTOR</t>
  </si>
  <si>
    <t>Hidrocarburos</t>
  </si>
  <si>
    <t>Electricidad</t>
  </si>
  <si>
    <t>20.07.05</t>
  </si>
  <si>
    <t>22.07.05</t>
  </si>
  <si>
    <t>a21</t>
  </si>
  <si>
    <t>06.08.09</t>
  </si>
  <si>
    <t>08.07.10</t>
  </si>
  <si>
    <t>Línea de Transmisión Tintaya-Socabaya en 220 Kv y subestaciones asociadas</t>
  </si>
  <si>
    <t>Línea de transmisión 220 Kv entre Talara y Piura</t>
  </si>
  <si>
    <t>Eje del Amazonas Centro de IIRSA: Tramo 2 del Eje Multimodal</t>
  </si>
  <si>
    <t>27.07.10</t>
  </si>
  <si>
    <t>Telecomunicaciones</t>
  </si>
  <si>
    <t>25.11.10</t>
  </si>
  <si>
    <t>Reserva Fría de generación  800 MW (2 x 200 + 1 x 400)</t>
  </si>
  <si>
    <t>Concesión por 30 años, montos ofrecidos pagados al contado. En el caso de San Antonio Abad se trata de una transferencia de un contrato de concesión que Entur Perú mantenía con el Arsobispado.</t>
  </si>
  <si>
    <t>Concesión para el diseño, construcción, y operación de las líneas de transmisión en 220 Kv:Socabayo-Moquegua; Moquegua-Tacna y Moquegua-Puno, con una inversión de US$74.48 MM.   El plazo del Contrato de Concesión es de 32 años.</t>
  </si>
  <si>
    <t>N°</t>
  </si>
  <si>
    <t>30.04.10</t>
  </si>
  <si>
    <t>Línea de Transmisión 500 kV Chilca-Marcona-Montalvo</t>
  </si>
  <si>
    <t>Linea de Transmisión Zapallal Trujillo 500 kV</t>
  </si>
  <si>
    <t>Concesión del Sistema Ferroviario Estatal por 30 años.  Se estima que los ingresos del Estado por dicha  concesión serán de US$162 MM; asimismo, la inversión ascendería a US$157 MM.    Cabe señalar que estas cifras, que determinan un orden de magnitud consideran solamente un desarrollo conservador del mercado de transporte ferroviario, así como de las inversiones en servicios complementarios, los que podrían ser más importantes a mediano y largo plazo.</t>
  </si>
  <si>
    <t>Concesión para el transporte y distribución de Camisea.  Comprende la inversión a ser realizada durante los 4 primeros años ascendente a US$1,100 MM;  asimismo, el costo de operación ascendería a US$349 MM  (Plazo de concesión:  33 años).</t>
  </si>
  <si>
    <t>El consorcio se adjudicó la Buena Pro al ofrecer una retribución de 18.61% de los ingresos por peajes.</t>
  </si>
  <si>
    <t>a22</t>
  </si>
  <si>
    <t xml:space="preserve">El consorcio se adjudicó la Buena Pro al ofrecer el menor valor presente neto de los ingresos anuales que espera recibir el concesionario para los cinco primeros años de la concesión, ascendente a S/. 31.4 MM.   </t>
  </si>
  <si>
    <t>Transporte</t>
  </si>
  <si>
    <t>(c)</t>
  </si>
  <si>
    <t>Telecomunic.</t>
  </si>
  <si>
    <t>27.01.11</t>
  </si>
  <si>
    <t>Banda C de 1900 MHz. (Cuarto Operador)</t>
  </si>
  <si>
    <t>a27</t>
  </si>
  <si>
    <t>22.02.11</t>
  </si>
  <si>
    <t>Pago de contraprestación periódica del 2.51% de las ventas netas efectuadas desde el primer semestre de 2005 y el segundo semestre de 2010 y que seguirá haciendose en forma semestral durante la vida de la mina.</t>
  </si>
  <si>
    <t>Inversión auditada durante el periodo de opción.</t>
  </si>
  <si>
    <t>(c11)</t>
  </si>
  <si>
    <t>(c12)</t>
  </si>
  <si>
    <t>24.03.11</t>
  </si>
  <si>
    <t>Energía de Centrales Hidroeléctricas 500 MW</t>
  </si>
  <si>
    <t>(c13)</t>
  </si>
  <si>
    <t>Monto estimado de la inversión total que deberán efectuar las empresas adjudicatarias de la buena Pro Consorcio Generación Pucará (Ofertas 1 y 2), Empresa de Generación Huallaga S.A. y Cero del Aguila S.A. en la construcción de tres (3) nuevas centrales hidroeléctricas de una potencia nominal total ascendente a 911.8 MW considerando un ratio de US$2,000 la inversión por KW instalado, a fin de suministrar la Potencia Ofrecida: 5 MW, 55 MW, 284 MW y 200 MW, respectivamente. Las nuevas centrales hidroeléctricas en referencia y su respectiva potencia nominal se citan a continuación: C.H. Pucará 149.8 MW, C.H. Chaglia 360 MW y C.H. Cerro del Aguila 402 MW.</t>
  </si>
  <si>
    <t>31.03.11</t>
  </si>
  <si>
    <t>Línea de Transmisión Trujillo - Chiclayo en 500 KV</t>
  </si>
  <si>
    <t>01.04.11</t>
  </si>
  <si>
    <t>Terminal Norte Multipropósito en el Terminal Portuario del Callao</t>
  </si>
  <si>
    <t>(c14)</t>
  </si>
  <si>
    <t>Monto a valores corrientes.</t>
  </si>
  <si>
    <t>07.04.11</t>
  </si>
  <si>
    <t>Reserva Fría de Generación: Planta Eten 200 Mw 
(ubicación anterior Trujillo)</t>
  </si>
  <si>
    <t>27.04.11</t>
  </si>
  <si>
    <t>Terminal Poruario de Yurimaguas - Nueva Reforma</t>
  </si>
  <si>
    <t>L.T. Machupicchu-Abancay-Cotaruse de 220 kV</t>
  </si>
  <si>
    <t xml:space="preserve">En estos Proyectos de Telecomunicaciones, la modalidad en la que se ejecuta el concurso es la entrega de un subsidio (financiamiento no reembolsable) a una empresa privada para la ejecución de un proyecto que es deficitario. Se establece un subsidio base y las empresas concursan por el menor subsidio.
El monto de inversión proyectada corresponde al subsidio del Estado solicitado por la empresa adjudicataria. </t>
  </si>
  <si>
    <t>15.12.11</t>
  </si>
  <si>
    <t>Banda 10.15-10.30 GHz y 10.50-10.65 GHz en la provincia de Lima y provincia constitucional del Callao</t>
  </si>
  <si>
    <t>(c15)</t>
  </si>
  <si>
    <t xml:space="preserve">El monto de inversión proyectada corresponde al subsidio del Estado solicitado por la empresa adjudicataria. </t>
  </si>
  <si>
    <t>(c16)</t>
  </si>
  <si>
    <t>Monto equivalente a la provisión de acceso a internet gratuito a 4,025 escuelas del Ministerio de Educación durante 10 años.</t>
  </si>
  <si>
    <t>Primer Grupo de Aeropuertos Regionales</t>
  </si>
  <si>
    <t>Proyecto Especial Sistema Eléctrico de Transporte Masivo de Lima y Callao, Línea 1, Villa el Salvador – Av. Grau – San Juan de Lurigancho</t>
  </si>
  <si>
    <t>10.05.12</t>
  </si>
  <si>
    <t xml:space="preserve">Reserva Fría de Generación: Plantas: Pucallpa y Puerto Maldonado </t>
  </si>
  <si>
    <t>14.08.12</t>
  </si>
  <si>
    <t>Bandas 899-915 MHz y 944-960 MHz en la provinccia de Lima y la Provincia Constitucional del Callao y las Bandas 902-915 MHz y 947-960 MHz en el resto del país.</t>
  </si>
  <si>
    <t>(c17)</t>
  </si>
  <si>
    <t>16.08.12</t>
  </si>
  <si>
    <t xml:space="preserve">Panamericana Sur: Ica - Frontera con Chile  (Tramo Dv. Quilca – Dv. Arequipa;      Dv. Matarani – Dv. Moquegua; Dv. Ilo – Tacna – La Concordia) </t>
  </si>
  <si>
    <t>22.11.12</t>
  </si>
  <si>
    <t>Línea de Transmisión Carhuaquero - Cajamarca Norte - Cáclic - Moyobamba en 220 KV.</t>
  </si>
  <si>
    <t>12.12.12</t>
  </si>
  <si>
    <t>Chaco la Puntilla Lote E</t>
  </si>
  <si>
    <t>21.02.13</t>
  </si>
  <si>
    <t>Línea de Transmisión - Machupicchu - Quencoro - Onocora - Tintaya y Subestaciones Asociadas</t>
  </si>
  <si>
    <t>21.03.13</t>
  </si>
  <si>
    <t>Energía de Centrales Hidroléctricas (CH Molloco)</t>
  </si>
  <si>
    <t>16.05.13</t>
  </si>
  <si>
    <t>Suministro de Energía para Iquitos</t>
  </si>
  <si>
    <t>18.07.13</t>
  </si>
  <si>
    <t>Línea de Transmisión 500 kV Mantaro – Marcona – Socabaya – Montalvo y Subestaciones Asociadas</t>
  </si>
  <si>
    <t>22.07.13</t>
  </si>
  <si>
    <t>Concesión Única para la Prestación de Servicios Públicos de Telecomunicaciones y Asignación de las Bandas 1710-1770 MHz y 2110-2170 MHz a Nivel Nacional</t>
  </si>
  <si>
    <t>25.07.13</t>
  </si>
  <si>
    <t>Masificación del Uso de Gas Natural a Nivel Nacional</t>
  </si>
  <si>
    <t>(en dólares sin incluir IGV)</t>
  </si>
  <si>
    <r>
      <t>Corpac - Playa Estac Aerop. J. Chavez.</t>
    </r>
    <r>
      <rPr>
        <vertAlign val="superscript"/>
        <sz val="10"/>
        <color indexed="8"/>
        <rFont val="Calibri"/>
        <family val="2"/>
      </rPr>
      <t>a1</t>
    </r>
  </si>
  <si>
    <r>
      <t xml:space="preserve">Corpac - Duty Free </t>
    </r>
    <r>
      <rPr>
        <vertAlign val="superscript"/>
        <sz val="10"/>
        <color indexed="8"/>
        <rFont val="Calibri"/>
        <family val="2"/>
      </rPr>
      <t>a2</t>
    </r>
  </si>
  <si>
    <r>
      <t xml:space="preserve">Entur Perú - Machu Picchu Ruinas </t>
    </r>
    <r>
      <rPr>
        <vertAlign val="superscript"/>
        <sz val="10"/>
        <color indexed="8"/>
        <rFont val="Calibri"/>
        <family val="2"/>
      </rPr>
      <t>a3</t>
    </r>
  </si>
  <si>
    <r>
      <t>San Antonio de Abad</t>
    </r>
    <r>
      <rPr>
        <vertAlign val="superscript"/>
        <sz val="10"/>
        <color indexed="8"/>
        <rFont val="Calibri"/>
        <family val="2"/>
      </rPr>
      <t>a3</t>
    </r>
  </si>
  <si>
    <r>
      <t>Reforzamiento Sistemas Eléctricos Transmisión Sur</t>
    </r>
    <r>
      <rPr>
        <vertAlign val="superscript"/>
        <sz val="10"/>
        <color indexed="8"/>
        <rFont val="Calibri"/>
        <family val="2"/>
      </rPr>
      <t xml:space="preserve"> a7</t>
    </r>
  </si>
  <si>
    <r>
      <t xml:space="preserve">Terminal Portuario de Matarani  </t>
    </r>
    <r>
      <rPr>
        <vertAlign val="superscript"/>
        <sz val="10"/>
        <color indexed="8"/>
        <rFont val="Calibri"/>
        <family val="2"/>
      </rPr>
      <t>a8</t>
    </r>
  </si>
  <si>
    <r>
      <t xml:space="preserve">Sistema Ferroviario (Centro, Sur y Sur Oriente)    </t>
    </r>
    <r>
      <rPr>
        <vertAlign val="superscript"/>
        <sz val="10"/>
        <color indexed="8"/>
        <rFont val="Calibri"/>
        <family val="2"/>
      </rPr>
      <t>a9</t>
    </r>
  </si>
  <si>
    <r>
      <t xml:space="preserve">Proyecto Chillón   </t>
    </r>
    <r>
      <rPr>
        <vertAlign val="superscript"/>
        <sz val="10"/>
        <color indexed="8"/>
        <rFont val="Calibri"/>
        <family val="2"/>
      </rPr>
      <t>a10</t>
    </r>
  </si>
  <si>
    <r>
      <t xml:space="preserve">Servicio de Comunicaciones Personales - PCS </t>
    </r>
    <r>
      <rPr>
        <vertAlign val="superscript"/>
        <sz val="10"/>
        <color indexed="8"/>
        <rFont val="Calibri"/>
        <family val="2"/>
      </rPr>
      <t xml:space="preserve"> a12</t>
    </r>
  </si>
  <si>
    <r>
      <t xml:space="preserve">Servicio Telefonía Local y Serv.Portador Local  </t>
    </r>
    <r>
      <rPr>
        <vertAlign val="superscript"/>
        <sz val="10"/>
        <color indexed="8"/>
        <rFont val="Calibri"/>
        <family val="2"/>
      </rPr>
      <t>a13</t>
    </r>
  </si>
  <si>
    <r>
      <t xml:space="preserve">Servicio Telefonía Local y Serv.Portador Local  </t>
    </r>
    <r>
      <rPr>
        <vertAlign val="superscript"/>
        <sz val="10"/>
        <color indexed="8"/>
        <rFont val="Calibri"/>
        <family val="2"/>
      </rPr>
      <t>a14</t>
    </r>
  </si>
  <si>
    <r>
      <t xml:space="preserve">Proyecto de Camisea - Transporte y Distribución  </t>
    </r>
    <r>
      <rPr>
        <vertAlign val="superscript"/>
        <sz val="10"/>
        <color indexed="8"/>
        <rFont val="Calibri"/>
        <family val="2"/>
      </rPr>
      <t>a15</t>
    </r>
  </si>
  <si>
    <r>
      <t xml:space="preserve">Aeropuerto Internacional Jorge Chávez  </t>
    </r>
    <r>
      <rPr>
        <vertAlign val="superscript"/>
        <sz val="10"/>
        <color indexed="8"/>
        <rFont val="Calibri"/>
        <family val="2"/>
      </rPr>
      <t xml:space="preserve"> a16</t>
    </r>
  </si>
  <si>
    <r>
      <t xml:space="preserve">Red vial Nº 5: Tramo Ancón-Huacho-Pativilca  </t>
    </r>
    <r>
      <rPr>
        <vertAlign val="superscript"/>
        <sz val="10"/>
        <color indexed="8"/>
        <rFont val="Calibri"/>
        <family val="2"/>
      </rPr>
      <t>a17</t>
    </r>
  </si>
  <si>
    <r>
      <t xml:space="preserve">ETECEN - ETESUR    </t>
    </r>
    <r>
      <rPr>
        <vertAlign val="superscript"/>
        <sz val="10"/>
        <color indexed="8"/>
        <rFont val="Calibri"/>
        <family val="2"/>
      </rPr>
      <t>a19</t>
    </r>
  </si>
  <si>
    <r>
      <t xml:space="preserve">Centro Ecológico Recreacional de Huachipa   </t>
    </r>
    <r>
      <rPr>
        <vertAlign val="superscript"/>
        <sz val="10"/>
        <color indexed="8"/>
        <rFont val="Calibri"/>
        <family val="2"/>
      </rPr>
      <t>a18</t>
    </r>
  </si>
  <si>
    <r>
      <t xml:space="preserve">Proyecto Olmos  </t>
    </r>
    <r>
      <rPr>
        <vertAlign val="superscript"/>
        <sz val="10"/>
        <color indexed="8"/>
        <rFont val="Calibri"/>
        <family val="2"/>
      </rPr>
      <t>a20</t>
    </r>
  </si>
  <si>
    <r>
      <t xml:space="preserve">Red vial Nº 6: Tramo Puente Pucusana-Cerro Azul-Chinca-Pisco-Ica </t>
    </r>
    <r>
      <rPr>
        <vertAlign val="superscript"/>
        <sz val="10"/>
        <color indexed="8"/>
        <rFont val="Calibri"/>
        <family val="2"/>
      </rPr>
      <t>a21</t>
    </r>
  </si>
  <si>
    <r>
      <t xml:space="preserve">Servicios de Agua y Desagûe de Tumbes </t>
    </r>
    <r>
      <rPr>
        <vertAlign val="superscript"/>
        <sz val="10"/>
        <color indexed="8"/>
        <rFont val="Calibri"/>
        <family val="2"/>
      </rPr>
      <t xml:space="preserve"> a22</t>
    </r>
  </si>
  <si>
    <r>
      <t xml:space="preserve">Telefonía Fija Local y Portador Local </t>
    </r>
    <r>
      <rPr>
        <vertAlign val="superscript"/>
        <sz val="10"/>
        <color indexed="8"/>
        <rFont val="Calibri"/>
        <family val="2"/>
      </rPr>
      <t>a27</t>
    </r>
  </si>
  <si>
    <r>
      <t xml:space="preserve">Terminal Portuario del Callao Nuevo Terminal de Contenedores – Muelle Sur    </t>
    </r>
    <r>
      <rPr>
        <vertAlign val="superscript"/>
        <sz val="10"/>
        <color indexed="8"/>
        <rFont val="Calibri"/>
        <family val="2"/>
      </rPr>
      <t>a23</t>
    </r>
  </si>
  <si>
    <t>Concesión de la Banda WiMax (2 668-2 692 MHz y 2 668-2 690 MHz )</t>
  </si>
  <si>
    <t xml:space="preserve">TRANSACCIONES </t>
  </si>
  <si>
    <t>Correspondiente al pago inicial de US$9.68 MM más los ingresos esperados por concepto del canon de 5% mensual sólo por los cinco primeros años (aprox. S/.800 M anuales).   Cabe señalar que el canon es por el tiempo que dure la concesión, sin embargo para fines de registro, en este reporte sólo se está considerando los cinco primeros años.</t>
  </si>
  <si>
    <t>El monto incluye: Provisión de acceso gratuito a internet de banda ancha en 718 instituciones beneficiarias (colegios, postas de salud y municipios).
Costo de limpieza de la banda.</t>
  </si>
  <si>
    <t>INVERSIÓN PROYECTADA</t>
  </si>
  <si>
    <t>17.12.13</t>
  </si>
  <si>
    <t>Provisión de Servicios de Saneamiento para los Distritos del Sur de Lima</t>
  </si>
  <si>
    <t>18.12.13</t>
  </si>
  <si>
    <t>Proyecto Chavimochic - Tercera etapa</t>
  </si>
  <si>
    <t>irrigación</t>
  </si>
  <si>
    <t>19.12.13</t>
  </si>
  <si>
    <t>Longitudinal de la Sierra Tramo 2: Ciudad de Dios-Cajamarca-Chipe, Cajamarca-Trujillo y Dv. Chilete-Empalme PE-3N.</t>
  </si>
  <si>
    <t>23.12.13</t>
  </si>
  <si>
    <t>Red Dorsal Nacional de Fibra Óptica: Cobertura Universal Norte, Conbertura Universal Sur y Cobertura Universal Centro</t>
  </si>
  <si>
    <t>Línea 2 y Ramal Av. Faucett - Av. Gambetta de la Red  Básica del Metro de Lima y Callao</t>
  </si>
  <si>
    <t>28.03.14</t>
  </si>
  <si>
    <t>(c18)</t>
  </si>
  <si>
    <t>25.04.14</t>
  </si>
  <si>
    <t>Aeropuerto Internacional Chinchero - Cusco</t>
  </si>
  <si>
    <t>30.04.14</t>
  </si>
  <si>
    <t>Terminal Portuario General San Martín - Pisco</t>
  </si>
  <si>
    <t>(c19)</t>
  </si>
  <si>
    <t>(c20)</t>
  </si>
  <si>
    <t>El monto de inversión estimado corrresponde a inversión obligatoria.
Adicionalmente existe monto de inversión adicional gatillada (US$ 673.53 millones sin IGV) comprende la adquisición de material rodante cuando en hora punta se alcancen las capacidades de carga máxima definidas en el contrato de concesión correspondientes a la Tercera Etapa del Proyecto.</t>
  </si>
  <si>
    <t>El monto de inversión estimado corrresponde a inversión obligatoria.
Adicionalmente existe monto de inversión adicional gatillada (US$ 119.91 millones sin IGV) comprende la implementación de infraestructura y equipamiento durante dos fases adicionales de la etapa de operación según volumen de pasajeros anuales atendidos, estas son: i) Fase 1: que incrementa la capacidad del aeropuerto para atender una demanda de 5 millones de pasajeros anuales; ii) Fase 2: que incrementa la capacidad del aeropuerto para atender una demanda de 5.7 millones de pasajeros anuales.</t>
  </si>
  <si>
    <t>El monto de inversión estimado corrresponde a inversión obligatoria.
Adicionalmente existe monto de inversión adicional gatillada (US$ 53.60 millones sin IGV)) comprende la ejecución de obras durante el periodo de operación en tres etapas adicionales (Etapas 2, 3 y 4) en función a la carga manejada. Se ejecuta la Etapa 2 cuando la carga alcanza los 2.5 millones TM/año; la Etapa 3 cuando se alcanza los 60 mil TEUs/año; y, la Etapa 4 cuando se alcanza los 225 mil TM/año de granos limpios.</t>
  </si>
  <si>
    <t>Línea de Transmisión 220 kV La Planicie - Industriales y Subestaciones Asociadas</t>
  </si>
  <si>
    <t>Sistema de Telecabinas de Kuélap</t>
  </si>
  <si>
    <t>30.05.14</t>
  </si>
  <si>
    <t>29.05.14</t>
  </si>
  <si>
    <t>05.06.14</t>
  </si>
  <si>
    <t>Línea de Transmisión 220 kV Moyobamba - Iquitos y Subestaciones Asociadas</t>
  </si>
  <si>
    <r>
      <t xml:space="preserve">Planta de Tratamiento de aguas residuales y emisor submarino "La Chira" </t>
    </r>
    <r>
      <rPr>
        <vertAlign val="superscript"/>
        <sz val="10"/>
        <color indexed="8"/>
        <rFont val="Calibri"/>
        <family val="2"/>
      </rPr>
      <t>a28</t>
    </r>
  </si>
  <si>
    <r>
      <t xml:space="preserve">Planta de Tratamiento de Aguas Residuales “Taboada” </t>
    </r>
    <r>
      <rPr>
        <vertAlign val="superscript"/>
        <sz val="10"/>
        <color indexed="8"/>
        <rFont val="Calibri"/>
        <family val="2"/>
      </rPr>
      <t>a28</t>
    </r>
  </si>
  <si>
    <t>a28</t>
  </si>
  <si>
    <t>Concurso derivado de una iniciativa privada.</t>
  </si>
  <si>
    <t>a29</t>
  </si>
  <si>
    <t>Contrato de Gerencia, no hay monto de inversión.</t>
  </si>
  <si>
    <t>07.08.14</t>
  </si>
  <si>
    <t>Línea de Transmisión 220 kV Friaspata – Mollepata y Subestación Orcotuna 220/60 Kv</t>
  </si>
  <si>
    <t>12.02.15</t>
  </si>
  <si>
    <t>Línea de Transmisión Azángaro – Juliaca – Puno 220 kV</t>
  </si>
  <si>
    <t>22.07.15</t>
  </si>
  <si>
    <t>Primera Etapa de la Subestación Carapongo y Enlaces de Conexión a Líneas Asociadas</t>
  </si>
  <si>
    <t>16.12.15</t>
  </si>
  <si>
    <t>Línea de Transmisión 220 kV Montalvo - Los Héroes y Subestaciones Asociadas</t>
  </si>
  <si>
    <t>26.05.16</t>
  </si>
  <si>
    <t>Concesiones Únicas para la Prestación de Servicios Públicos de Telecomunicaciones y Asignación de Tres Bloques de la Banda 698-806 MHz a nivel nacional</t>
  </si>
  <si>
    <t>TOTAL 1993</t>
  </si>
  <si>
    <t>TOTAL 1995</t>
  </si>
  <si>
    <t>TOTAL 1999</t>
  </si>
  <si>
    <t>TOTAL 2000</t>
  </si>
  <si>
    <t>TOTAL 2001</t>
  </si>
  <si>
    <t>TOTAL 2002</t>
  </si>
  <si>
    <t>TOTAL 2004</t>
  </si>
  <si>
    <t>TOTAL 2005</t>
  </si>
  <si>
    <t>TOTAL 2006</t>
  </si>
  <si>
    <t>TOTAL 2007</t>
  </si>
  <si>
    <t>TOTAL 2008</t>
  </si>
  <si>
    <t>TOTAL 2009</t>
  </si>
  <si>
    <t>TOTAL 2010</t>
  </si>
  <si>
    <t>TOTAL 2011</t>
  </si>
  <si>
    <t>TOTAL 2012</t>
  </si>
  <si>
    <t>TOTAL 2013</t>
  </si>
  <si>
    <t>TOTAL 2014</t>
  </si>
  <si>
    <t>TOTAL 2015</t>
  </si>
  <si>
    <t>TOTAL 2016</t>
  </si>
  <si>
    <t>30.06.14</t>
  </si>
  <si>
    <r>
      <t xml:space="preserve">Mejoras a la Seguridad Energética del País y Desarrollo del Gaseoducto Sur Peruano </t>
    </r>
    <r>
      <rPr>
        <vertAlign val="superscript"/>
        <sz val="9"/>
        <color indexed="8"/>
        <rFont val="Arial"/>
        <family val="2"/>
      </rPr>
      <t>a33</t>
    </r>
  </si>
  <si>
    <t>Mediante Resolución Suprema Nº 004-2017-EM, publicada el 15 de febrero de 2017, se declaró que la Terminación de la Concesión del Proyecto se produjo el 24 de enero de 2017 al no haber acreditado el Concesionario el cumplimiento del Cierre Financiero dentro del plazo contractual establecido, de conformidad con lo dispuesto en el numeral 6.7 de la Cláusula Sexta del Contrato de Concesión.</t>
  </si>
  <si>
    <t>a33</t>
  </si>
  <si>
    <t>19.05.2017</t>
  </si>
  <si>
    <t>Línea de Transmisión Aguaytía-Pucallpa (Segundo Circuito)</t>
  </si>
  <si>
    <t>TOTAL 2017</t>
  </si>
  <si>
    <t>06.07.2017</t>
  </si>
  <si>
    <t>Hidrovía Amazónica (Segunda Convocatoria)</t>
  </si>
  <si>
    <t>3.4. REPORTE DE PROYECTOS EN LA MODALIDAD DE CONCESIONES A DICIEMBRE 2017</t>
  </si>
  <si>
    <t>(c21)</t>
  </si>
  <si>
    <t>Por operación y mantenimiento: US$ 15 millones.</t>
  </si>
  <si>
    <t>30.10.2017</t>
  </si>
  <si>
    <t>Enlace 500 kV Mantaro-Nueva Yanango-Carapongo y Subestaciones Asociadas y Enlace 500 kV Nueva Yanango-Nueva Huanuco y Subestaciones Asociadas</t>
  </si>
  <si>
    <t>30.11.2017</t>
  </si>
  <si>
    <t>Línea de Transmisión 220 kV Tintaya - Azángaro</t>
  </si>
  <si>
    <r>
      <rPr>
        <b/>
        <sz val="10"/>
        <rFont val="Calibri"/>
        <family val="2"/>
      </rPr>
      <t xml:space="preserve">Fuente y elaboración: </t>
    </r>
    <r>
      <rPr>
        <sz val="10"/>
        <rFont val="Calibri"/>
        <family val="2"/>
      </rPr>
      <t>Dirección de Portafolio de Proyectos - PROINVERSIÓN</t>
    </r>
  </si>
</sst>
</file>

<file path=xl/styles.xml><?xml version="1.0" encoding="utf-8"?>
<styleSheet xmlns="http://schemas.openxmlformats.org/spreadsheetml/2006/main">
  <numFmts count="24">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_(* #,##0.00_);_(* \(#,##0.00\);_(* &quot;-&quot;??_);_(@_)"/>
    <numFmt numFmtId="174" formatCode="_(&quot;$&quot;* #,##0.00_);_(&quot;$&quot;* \(#,##0.00\);_(&quot;$&quot;* &quot;-&quot;??_);_(@_)"/>
    <numFmt numFmtId="175" formatCode="_(* #,##0_);_(* \(#,##0\);_(* &quot;-&quot;??_);_(@_)"/>
    <numFmt numFmtId="176" formatCode="_(* #,##0.0000_);_(* \(#,##0.0000\);_(* &quot;-&quot;??_);_(@_)"/>
    <numFmt numFmtId="177" formatCode="0.0000%"/>
    <numFmt numFmtId="178" formatCode="_(* #,##0.00_);_(* \(#,##0.00\);_(* &quot;-&quot;_);_(@_)"/>
    <numFmt numFmtId="179" formatCode="_(* #,##0.0_);_(* \(#,##0.0\);_(* &quot;-&quot;??_);_(@_)"/>
  </numFmts>
  <fonts count="56">
    <font>
      <sz val="10"/>
      <name val="Arial"/>
      <family val="0"/>
    </font>
    <font>
      <sz val="11"/>
      <color indexed="8"/>
      <name val="Calibri"/>
      <family val="2"/>
    </font>
    <font>
      <sz val="10"/>
      <color indexed="8"/>
      <name val="Arial"/>
      <family val="2"/>
    </font>
    <font>
      <sz val="10"/>
      <color indexed="9"/>
      <name val="Arial"/>
      <family val="2"/>
    </font>
    <font>
      <b/>
      <sz val="8"/>
      <name val="Tahoma"/>
      <family val="2"/>
    </font>
    <font>
      <sz val="8"/>
      <name val="Tahoma"/>
      <family val="2"/>
    </font>
    <font>
      <b/>
      <sz val="12"/>
      <name val="Arial"/>
      <family val="2"/>
    </font>
    <font>
      <sz val="10"/>
      <name val="Calibri"/>
      <family val="2"/>
    </font>
    <font>
      <vertAlign val="superscript"/>
      <sz val="10"/>
      <color indexed="8"/>
      <name val="Calibri"/>
      <family val="2"/>
    </font>
    <font>
      <b/>
      <sz val="10"/>
      <name val="Calibri"/>
      <family val="2"/>
    </font>
    <font>
      <sz val="9"/>
      <color indexed="8"/>
      <name val="Arial"/>
      <family val="2"/>
    </font>
    <font>
      <vertAlign val="superscript"/>
      <sz val="9"/>
      <color indexed="8"/>
      <name val="Arial"/>
      <family val="2"/>
    </font>
    <font>
      <sz val="9"/>
      <name val="Arial"/>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0"/>
      <color indexed="9"/>
      <name val="Calibri"/>
      <family val="2"/>
    </font>
    <font>
      <b/>
      <sz val="16"/>
      <name val="Calibri"/>
      <family val="2"/>
    </font>
    <font>
      <sz val="10"/>
      <color indexed="9"/>
      <name val="Calibri"/>
      <family val="2"/>
    </font>
    <font>
      <sz val="10"/>
      <color indexed="8"/>
      <name val="Calibri"/>
      <family val="2"/>
    </font>
    <font>
      <vertAlign val="superscript"/>
      <sz val="10"/>
      <name val="Calibri"/>
      <family val="2"/>
    </font>
    <font>
      <b/>
      <sz val="10"/>
      <color indexed="8"/>
      <name val="Calibri"/>
      <family val="2"/>
    </font>
    <font>
      <b/>
      <u val="single"/>
      <sz val="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0"/>
      <name val="Calibri"/>
      <family val="2"/>
    </font>
    <font>
      <b/>
      <sz val="10"/>
      <color theme="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993300"/>
        <bgColor indexed="64"/>
      </patternFill>
    </fill>
    <fill>
      <patternFill patternType="solid">
        <fgColor indexed="22"/>
        <bgColor indexed="64"/>
      </patternFill>
    </fill>
    <fill>
      <patternFill patternType="solid">
        <fgColor theme="0"/>
        <bgColor indexed="64"/>
      </patternFill>
    </fill>
    <fill>
      <patternFill patternType="solid">
        <fgColor theme="9" tint="-0.24997000396251678"/>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right/>
      <top style="thin"/>
      <bottom style="thin"/>
    </border>
    <border>
      <left/>
      <right style="thin"/>
      <top style="thin"/>
      <bottom style="thin"/>
    </border>
    <border>
      <left/>
      <right/>
      <top style="dotted"/>
      <bottom/>
    </border>
    <border>
      <left/>
      <right/>
      <top/>
      <bottom style="dotted"/>
    </border>
    <border>
      <left/>
      <right/>
      <top style="dotted"/>
      <bottom style="dotted"/>
    </border>
    <border>
      <left/>
      <right/>
      <top style="dotted"/>
      <bottom style="thin"/>
    </border>
    <border>
      <left/>
      <right/>
      <top/>
      <bottom style="thin"/>
    </border>
    <border>
      <left style="thin"/>
      <right style="thin"/>
      <top style="thin"/>
      <bottom style="thin"/>
    </border>
    <border>
      <left style="thin"/>
      <right style="hair"/>
      <top style="thin"/>
      <bottom style="hair"/>
    </border>
    <border>
      <left style="hair"/>
      <right style="thin"/>
      <top style="thin"/>
      <bottom style="hair"/>
    </border>
    <border>
      <left style="thin"/>
      <right/>
      <top style="thin"/>
      <bottom style="hair"/>
    </border>
    <border>
      <left/>
      <right style="thin"/>
      <top style="thin"/>
      <bottom style="hair"/>
    </border>
    <border>
      <left style="hair"/>
      <right style="thin"/>
      <top style="hair"/>
      <bottom style="hair"/>
    </border>
    <border>
      <left style="thin"/>
      <right style="thin"/>
      <top style="hair"/>
      <bottom style="hair"/>
    </border>
    <border>
      <left style="thin"/>
      <right/>
      <top style="hair"/>
      <bottom style="hair"/>
    </border>
    <border>
      <left/>
      <right style="thin"/>
      <top style="hair"/>
      <bottom style="hair"/>
    </border>
    <border>
      <left style="thin"/>
      <right style="hair"/>
      <top style="hair"/>
      <bottom style="hair"/>
    </border>
    <border>
      <left style="thin"/>
      <right style="hair"/>
      <top style="hair"/>
      <bottom/>
    </border>
    <border>
      <left style="hair"/>
      <right style="thin"/>
      <top style="hair"/>
      <bottom/>
    </border>
    <border>
      <left style="thin"/>
      <right style="thin"/>
      <top style="hair"/>
      <bottom/>
    </border>
    <border>
      <left style="thin"/>
      <right/>
      <top style="hair"/>
      <bottom/>
    </border>
    <border>
      <left/>
      <right style="thin"/>
      <top style="hair"/>
      <bottom/>
    </border>
    <border>
      <left style="thin"/>
      <right style="thin"/>
      <top style="thin"/>
      <bottom style="hair"/>
    </border>
    <border>
      <left style="medium"/>
      <right/>
      <top style="medium"/>
      <bottom style="medium"/>
    </border>
    <border>
      <left/>
      <right style="medium"/>
      <top style="medium"/>
      <bottom style="medium"/>
    </border>
    <border>
      <left style="thin"/>
      <right/>
      <top style="thin"/>
      <bottom style="thin"/>
    </border>
    <border>
      <left/>
      <right/>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173"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17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123">
    <xf numFmtId="0" fontId="0" fillId="0" borderId="0" xfId="0" applyAlignment="1">
      <alignment/>
    </xf>
    <xf numFmtId="0" fontId="3" fillId="0" borderId="0" xfId="0" applyFont="1" applyFill="1" applyBorder="1" applyAlignment="1">
      <alignment vertical="center"/>
    </xf>
    <xf numFmtId="0" fontId="2" fillId="0" borderId="0" xfId="0" applyFont="1" applyFill="1" applyBorder="1" applyAlignment="1">
      <alignment vertical="center"/>
    </xf>
    <xf numFmtId="0" fontId="3" fillId="33" borderId="0" xfId="0" applyFont="1" applyFill="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175" fontId="2" fillId="0" borderId="0" xfId="46" applyNumberFormat="1" applyFont="1" applyAlignment="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175" fontId="2" fillId="0" borderId="0" xfId="46" applyNumberFormat="1" applyFont="1" applyBorder="1" applyAlignment="1">
      <alignment vertical="center"/>
    </xf>
    <xf numFmtId="175" fontId="2" fillId="0" borderId="0" xfId="46" applyNumberFormat="1" applyFont="1" applyBorder="1" applyAlignment="1">
      <alignment horizontal="left" vertical="center" shrinkToFit="1"/>
    </xf>
    <xf numFmtId="0" fontId="2" fillId="0" borderId="0" xfId="0" applyFont="1" applyBorder="1" applyAlignment="1">
      <alignment horizontal="left" vertical="center" shrinkToFit="1"/>
    </xf>
    <xf numFmtId="175" fontId="2" fillId="0" borderId="0" xfId="46" applyNumberFormat="1" applyFont="1" applyAlignment="1">
      <alignment horizontal="left" vertical="center" shrinkToFit="1"/>
    </xf>
    <xf numFmtId="0" fontId="2" fillId="0" borderId="0" xfId="0" applyFont="1" applyAlignment="1">
      <alignment horizontal="left" vertical="center" shrinkToFit="1"/>
    </xf>
    <xf numFmtId="0" fontId="52" fillId="33" borderId="0" xfId="0" applyFont="1" applyFill="1" applyBorder="1" applyAlignment="1">
      <alignment vertical="center"/>
    </xf>
    <xf numFmtId="0" fontId="28" fillId="34" borderId="10" xfId="0" applyFont="1" applyFill="1" applyBorder="1" applyAlignment="1">
      <alignment horizontal="center" vertical="center"/>
    </xf>
    <xf numFmtId="0" fontId="29" fillId="0" borderId="0" xfId="0" applyFont="1" applyFill="1" applyBorder="1" applyAlignment="1">
      <alignment vertical="center"/>
    </xf>
    <xf numFmtId="0" fontId="7" fillId="0" borderId="0" xfId="0" applyFont="1" applyFill="1" applyBorder="1" applyAlignment="1">
      <alignment vertical="center"/>
    </xf>
    <xf numFmtId="0" fontId="53" fillId="34" borderId="11" xfId="0" applyFont="1" applyFill="1" applyBorder="1" applyAlignment="1">
      <alignment horizontal="center" vertical="center"/>
    </xf>
    <xf numFmtId="175" fontId="54" fillId="34" borderId="11" xfId="46" applyNumberFormat="1" applyFont="1" applyFill="1" applyBorder="1" applyAlignment="1">
      <alignment vertical="center"/>
    </xf>
    <xf numFmtId="172" fontId="54" fillId="34" borderId="11" xfId="46" applyNumberFormat="1" applyFont="1" applyFill="1" applyBorder="1" applyAlignment="1">
      <alignment vertical="center"/>
    </xf>
    <xf numFmtId="0" fontId="53" fillId="34" borderId="12" xfId="0" applyFont="1" applyFill="1" applyBorder="1" applyAlignment="1">
      <alignment horizontal="left" vertical="center" shrinkToFit="1"/>
    </xf>
    <xf numFmtId="175" fontId="53" fillId="33" borderId="0" xfId="0" applyNumberFormat="1" applyFont="1" applyFill="1" applyBorder="1" applyAlignment="1">
      <alignment vertical="center"/>
    </xf>
    <xf numFmtId="0" fontId="30" fillId="33" borderId="0" xfId="0" applyFont="1" applyFill="1" applyBorder="1" applyAlignment="1">
      <alignment vertical="center"/>
    </xf>
    <xf numFmtId="0" fontId="30" fillId="0" borderId="0" xfId="0" applyFont="1" applyFill="1" applyBorder="1" applyAlignment="1">
      <alignment vertical="center"/>
    </xf>
    <xf numFmtId="0" fontId="31" fillId="0" borderId="0" xfId="0" applyFont="1" applyFill="1" applyBorder="1" applyAlignment="1">
      <alignment vertical="center"/>
    </xf>
    <xf numFmtId="0" fontId="31" fillId="0" borderId="0" xfId="0" applyFont="1" applyFill="1" applyAlignment="1">
      <alignment vertical="center"/>
    </xf>
    <xf numFmtId="0" fontId="53" fillId="33" borderId="0" xfId="0" applyFont="1" applyFill="1" applyBorder="1" applyAlignment="1">
      <alignment horizontal="center" vertical="center"/>
    </xf>
    <xf numFmtId="0" fontId="30" fillId="33" borderId="0" xfId="0" applyFont="1" applyFill="1" applyBorder="1" applyAlignment="1">
      <alignment horizontal="center" vertical="center"/>
    </xf>
    <xf numFmtId="0" fontId="30"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31" fillId="35" borderId="0" xfId="0" applyFont="1" applyFill="1" applyAlignment="1">
      <alignment horizontal="center" vertical="center"/>
    </xf>
    <xf numFmtId="0" fontId="53" fillId="33" borderId="0" xfId="0" applyFont="1" applyFill="1" applyBorder="1" applyAlignment="1">
      <alignment vertical="center"/>
    </xf>
    <xf numFmtId="0" fontId="31" fillId="0" borderId="0" xfId="0" applyFont="1" applyAlignment="1">
      <alignment vertical="center"/>
    </xf>
    <xf numFmtId="0" fontId="30" fillId="36" borderId="0" xfId="0" applyFont="1" applyFill="1" applyBorder="1" applyAlignment="1">
      <alignment vertical="center"/>
    </xf>
    <xf numFmtId="0" fontId="31" fillId="36" borderId="0" xfId="0" applyFont="1" applyFill="1" applyBorder="1" applyAlignment="1">
      <alignment vertical="center"/>
    </xf>
    <xf numFmtId="0" fontId="31" fillId="36" borderId="0" xfId="0" applyFont="1" applyFill="1" applyAlignment="1">
      <alignment vertical="center"/>
    </xf>
    <xf numFmtId="175" fontId="30" fillId="33" borderId="0" xfId="0" applyNumberFormat="1" applyFont="1" applyFill="1" applyBorder="1" applyAlignment="1">
      <alignment vertical="center"/>
    </xf>
    <xf numFmtId="0" fontId="31" fillId="0" borderId="0" xfId="0" applyFont="1" applyBorder="1" applyAlignment="1">
      <alignment vertical="center"/>
    </xf>
    <xf numFmtId="0" fontId="31" fillId="0" borderId="13" xfId="0" applyFont="1" applyBorder="1" applyAlignment="1">
      <alignment vertical="center"/>
    </xf>
    <xf numFmtId="0" fontId="31" fillId="0" borderId="14" xfId="0" applyFont="1" applyFill="1" applyBorder="1" applyAlignment="1">
      <alignment vertical="center"/>
    </xf>
    <xf numFmtId="0" fontId="31" fillId="0" borderId="15" xfId="0" applyFont="1" applyFill="1" applyBorder="1" applyAlignment="1">
      <alignment vertical="center"/>
    </xf>
    <xf numFmtId="0" fontId="31" fillId="0" borderId="13" xfId="0" applyFont="1" applyFill="1" applyBorder="1" applyAlignment="1">
      <alignment vertical="center"/>
    </xf>
    <xf numFmtId="0" fontId="31" fillId="0" borderId="16" xfId="0" applyFont="1" applyFill="1" applyBorder="1" applyAlignment="1">
      <alignment vertical="center"/>
    </xf>
    <xf numFmtId="0" fontId="31" fillId="0" borderId="16" xfId="0" applyFont="1" applyBorder="1" applyAlignment="1">
      <alignment vertical="center"/>
    </xf>
    <xf numFmtId="175" fontId="53" fillId="36" borderId="0" xfId="0" applyNumberFormat="1" applyFont="1" applyFill="1" applyBorder="1" applyAlignment="1">
      <alignment vertical="center"/>
    </xf>
    <xf numFmtId="175" fontId="30" fillId="36" borderId="0" xfId="0" applyNumberFormat="1" applyFont="1" applyFill="1" applyBorder="1" applyAlignment="1">
      <alignment vertical="center"/>
    </xf>
    <xf numFmtId="0" fontId="31" fillId="36" borderId="17" xfId="0" applyFont="1" applyFill="1" applyBorder="1" applyAlignment="1">
      <alignment vertical="center"/>
    </xf>
    <xf numFmtId="175" fontId="53" fillId="0" borderId="0" xfId="0" applyNumberFormat="1" applyFont="1" applyFill="1" applyBorder="1" applyAlignment="1">
      <alignment vertical="center"/>
    </xf>
    <xf numFmtId="175" fontId="30" fillId="0" borderId="0" xfId="0" applyNumberFormat="1" applyFont="1" applyFill="1" applyBorder="1" applyAlignment="1">
      <alignment vertical="center"/>
    </xf>
    <xf numFmtId="0" fontId="31" fillId="0" borderId="12" xfId="0" applyFont="1" applyBorder="1" applyAlignment="1">
      <alignment vertical="center"/>
    </xf>
    <xf numFmtId="0" fontId="31" fillId="0" borderId="18" xfId="0" applyFont="1" applyBorder="1" applyAlignment="1">
      <alignment vertical="center"/>
    </xf>
    <xf numFmtId="0" fontId="31" fillId="0" borderId="19" xfId="0" applyFont="1" applyBorder="1" applyAlignment="1">
      <alignment vertical="center"/>
    </xf>
    <xf numFmtId="0" fontId="31" fillId="0" borderId="20" xfId="0" applyFont="1" applyBorder="1" applyAlignment="1">
      <alignment vertical="center"/>
    </xf>
    <xf numFmtId="172" fontId="31" fillId="0" borderId="21" xfId="46" applyNumberFormat="1" applyFont="1" applyFill="1" applyBorder="1" applyAlignment="1">
      <alignment vertical="center"/>
    </xf>
    <xf numFmtId="0" fontId="31" fillId="0" borderId="22" xfId="0" applyFont="1" applyFill="1" applyBorder="1" applyAlignment="1">
      <alignment horizontal="left" vertical="center" shrinkToFit="1"/>
    </xf>
    <xf numFmtId="0" fontId="31" fillId="0" borderId="23" xfId="0" applyFont="1" applyBorder="1" applyAlignment="1">
      <alignment vertical="center"/>
    </xf>
    <xf numFmtId="0" fontId="31" fillId="0" borderId="24" xfId="0" applyFont="1" applyBorder="1" applyAlignment="1">
      <alignment horizontal="center" vertical="center"/>
    </xf>
    <xf numFmtId="0" fontId="31" fillId="0" borderId="24" xfId="0" applyFont="1" applyBorder="1" applyAlignment="1">
      <alignment vertical="center"/>
    </xf>
    <xf numFmtId="175" fontId="31" fillId="0" borderId="25" xfId="46" applyNumberFormat="1" applyFont="1" applyBorder="1" applyAlignment="1">
      <alignment vertical="center"/>
    </xf>
    <xf numFmtId="175" fontId="31" fillId="0" borderId="26" xfId="46" applyNumberFormat="1" applyFont="1" applyBorder="1" applyAlignment="1">
      <alignment horizontal="left" vertical="center" shrinkToFit="1"/>
    </xf>
    <xf numFmtId="172" fontId="31" fillId="0" borderId="25" xfId="46" applyNumberFormat="1" applyFont="1" applyFill="1" applyBorder="1" applyAlignment="1">
      <alignment vertical="center"/>
    </xf>
    <xf numFmtId="0" fontId="31" fillId="0" borderId="26" xfId="0" applyFont="1" applyFill="1" applyBorder="1" applyAlignment="1">
      <alignment horizontal="left" vertical="center" shrinkToFit="1"/>
    </xf>
    <xf numFmtId="0" fontId="31" fillId="0" borderId="27" xfId="0" applyFont="1" applyBorder="1" applyAlignment="1">
      <alignment vertical="center"/>
    </xf>
    <xf numFmtId="0" fontId="31" fillId="0" borderId="28" xfId="0" applyFont="1" applyBorder="1" applyAlignment="1">
      <alignment vertical="center"/>
    </xf>
    <xf numFmtId="0" fontId="31" fillId="0" borderId="29" xfId="0" applyFont="1" applyBorder="1" applyAlignment="1">
      <alignment vertical="center"/>
    </xf>
    <xf numFmtId="0" fontId="31" fillId="0" borderId="30" xfId="0" applyFont="1" applyBorder="1" applyAlignment="1">
      <alignment horizontal="center" vertical="center"/>
    </xf>
    <xf numFmtId="0" fontId="31" fillId="0" borderId="30" xfId="0" applyFont="1" applyBorder="1" applyAlignment="1">
      <alignment vertical="center"/>
    </xf>
    <xf numFmtId="175" fontId="31" fillId="0" borderId="31" xfId="46" applyNumberFormat="1" applyFont="1" applyBorder="1" applyAlignment="1">
      <alignment vertical="center"/>
    </xf>
    <xf numFmtId="175" fontId="31" fillId="0" borderId="32" xfId="46" applyNumberFormat="1" applyFont="1" applyBorder="1" applyAlignment="1">
      <alignment horizontal="left" vertical="center" shrinkToFit="1"/>
    </xf>
    <xf numFmtId="172" fontId="31" fillId="0" borderId="31" xfId="46" applyNumberFormat="1" applyFont="1" applyFill="1" applyBorder="1" applyAlignment="1">
      <alignment vertical="center"/>
    </xf>
    <xf numFmtId="0" fontId="31" fillId="0" borderId="32" xfId="0" applyFont="1" applyFill="1" applyBorder="1" applyAlignment="1">
      <alignment horizontal="left" vertical="center" shrinkToFit="1"/>
    </xf>
    <xf numFmtId="0" fontId="31" fillId="0" borderId="30" xfId="0" applyFont="1" applyBorder="1" applyAlignment="1">
      <alignment vertical="center" wrapText="1"/>
    </xf>
    <xf numFmtId="172" fontId="31" fillId="36" borderId="31" xfId="46" applyNumberFormat="1" applyFont="1" applyFill="1" applyBorder="1" applyAlignment="1">
      <alignment vertical="center"/>
    </xf>
    <xf numFmtId="0" fontId="31" fillId="0" borderId="19" xfId="0" applyFont="1" applyFill="1" applyBorder="1" applyAlignment="1">
      <alignment vertical="center"/>
    </xf>
    <xf numFmtId="0" fontId="31" fillId="0" borderId="20" xfId="0" applyFont="1" applyFill="1" applyBorder="1" applyAlignment="1">
      <alignment vertical="center"/>
    </xf>
    <xf numFmtId="0" fontId="31" fillId="0" borderId="33" xfId="0" applyFont="1" applyFill="1" applyBorder="1" applyAlignment="1">
      <alignment horizontal="center" vertical="center"/>
    </xf>
    <xf numFmtId="0" fontId="31" fillId="0" borderId="33" xfId="0" applyFont="1" applyFill="1" applyBorder="1" applyAlignment="1">
      <alignment vertical="center" wrapText="1"/>
    </xf>
    <xf numFmtId="175" fontId="31" fillId="0" borderId="21" xfId="46" applyNumberFormat="1" applyFont="1" applyFill="1" applyBorder="1" applyAlignment="1">
      <alignment vertical="center"/>
    </xf>
    <xf numFmtId="175" fontId="31" fillId="0" borderId="22" xfId="46" applyNumberFormat="1" applyFont="1" applyFill="1" applyBorder="1" applyAlignment="1">
      <alignment horizontal="left" vertical="center" shrinkToFit="1"/>
    </xf>
    <xf numFmtId="0" fontId="31" fillId="0" borderId="24" xfId="0" applyFont="1" applyBorder="1" applyAlignment="1">
      <alignment vertical="center" wrapText="1"/>
    </xf>
    <xf numFmtId="0" fontId="9" fillId="0" borderId="0" xfId="0" applyFont="1" applyBorder="1" applyAlignment="1">
      <alignment horizontal="right"/>
    </xf>
    <xf numFmtId="0" fontId="31" fillId="0" borderId="0" xfId="0" applyFont="1" applyAlignment="1">
      <alignment horizontal="center" vertical="center"/>
    </xf>
    <xf numFmtId="175" fontId="31" fillId="0" borderId="0" xfId="46" applyNumberFormat="1" applyFont="1" applyAlignment="1">
      <alignment vertical="center"/>
    </xf>
    <xf numFmtId="175" fontId="31" fillId="0" borderId="0" xfId="46" applyNumberFormat="1" applyFont="1" applyAlignment="1">
      <alignment horizontal="left" vertical="center" shrinkToFit="1"/>
    </xf>
    <xf numFmtId="0" fontId="31" fillId="0" borderId="0" xfId="0" applyFont="1" applyAlignment="1">
      <alignment horizontal="left" vertical="center" shrinkToFit="1"/>
    </xf>
    <xf numFmtId="0" fontId="7" fillId="0" borderId="0" xfId="0" applyFont="1" applyFill="1" applyBorder="1" applyAlignment="1">
      <alignment horizontal="right" vertical="center" wrapText="1"/>
    </xf>
    <xf numFmtId="0" fontId="32" fillId="0" borderId="0" xfId="0" applyFont="1" applyFill="1" applyBorder="1" applyAlignment="1">
      <alignment horizontal="right" vertical="center" wrapText="1"/>
    </xf>
    <xf numFmtId="49" fontId="32" fillId="0" borderId="0" xfId="0" applyNumberFormat="1" applyFont="1" applyFill="1" applyBorder="1" applyAlignment="1">
      <alignment horizontal="right" vertical="center" wrapText="1"/>
    </xf>
    <xf numFmtId="0" fontId="32" fillId="36" borderId="0" xfId="0" applyFont="1" applyFill="1" applyBorder="1" applyAlignment="1">
      <alignment horizontal="right" vertical="center" wrapText="1"/>
    </xf>
    <xf numFmtId="0" fontId="31" fillId="0" borderId="0" xfId="0" applyFont="1" applyAlignment="1">
      <alignment vertical="center" wrapText="1"/>
    </xf>
    <xf numFmtId="0" fontId="10" fillId="0" borderId="20" xfId="0" applyFont="1" applyBorder="1" applyAlignment="1">
      <alignment vertical="center"/>
    </xf>
    <xf numFmtId="0" fontId="10" fillId="0" borderId="30" xfId="0" applyFont="1" applyBorder="1" applyAlignment="1">
      <alignment horizontal="center" vertical="center"/>
    </xf>
    <xf numFmtId="0" fontId="10" fillId="0" borderId="30" xfId="0" applyFont="1" applyBorder="1" applyAlignment="1">
      <alignment vertical="center" wrapText="1"/>
    </xf>
    <xf numFmtId="172" fontId="10" fillId="0" borderId="31" xfId="46" applyNumberFormat="1" applyFont="1" applyFill="1" applyBorder="1" applyAlignment="1">
      <alignment vertical="center"/>
    </xf>
    <xf numFmtId="175" fontId="7" fillId="33" borderId="0" xfId="0" applyNumberFormat="1" applyFont="1" applyFill="1" applyBorder="1" applyAlignment="1">
      <alignment vertical="center"/>
    </xf>
    <xf numFmtId="0" fontId="12" fillId="0" borderId="0" xfId="0" applyFont="1" applyFill="1" applyBorder="1" applyAlignment="1">
      <alignment horizontal="left" vertical="center" wrapText="1"/>
    </xf>
    <xf numFmtId="49" fontId="32" fillId="0" borderId="0" xfId="0" applyNumberFormat="1" applyFont="1" applyFill="1" applyBorder="1" applyAlignment="1">
      <alignment horizontal="justify" vertical="center" wrapText="1"/>
    </xf>
    <xf numFmtId="0" fontId="7" fillId="0" borderId="0" xfId="0" applyFont="1" applyFill="1" applyBorder="1" applyAlignment="1">
      <alignment horizontal="left" vertical="center" wrapText="1"/>
    </xf>
    <xf numFmtId="0" fontId="6" fillId="0" borderId="0" xfId="0" applyFont="1" applyBorder="1" applyAlignment="1">
      <alignment horizontal="center" vertical="center"/>
    </xf>
    <xf numFmtId="0" fontId="28" fillId="34" borderId="10" xfId="0" applyFont="1" applyFill="1" applyBorder="1" applyAlignment="1">
      <alignment horizontal="center" vertical="center"/>
    </xf>
    <xf numFmtId="0" fontId="28" fillId="34" borderId="34" xfId="0" applyFont="1" applyFill="1" applyBorder="1" applyAlignment="1">
      <alignment horizontal="center" vertical="center"/>
    </xf>
    <xf numFmtId="0" fontId="28" fillId="34" borderId="35" xfId="0" applyFont="1" applyFill="1" applyBorder="1" applyAlignment="1">
      <alignment horizontal="center" vertical="center"/>
    </xf>
    <xf numFmtId="0" fontId="28" fillId="34" borderId="34" xfId="0" applyFont="1" applyFill="1" applyBorder="1" applyAlignment="1">
      <alignment horizontal="center" vertical="center" wrapText="1"/>
    </xf>
    <xf numFmtId="0" fontId="28" fillId="34" borderId="35" xfId="0" applyFont="1" applyFill="1" applyBorder="1" applyAlignment="1">
      <alignment horizontal="center" vertical="center" wrapText="1"/>
    </xf>
    <xf numFmtId="0" fontId="54" fillId="34" borderId="36" xfId="0" applyFont="1" applyFill="1" applyBorder="1" applyAlignment="1">
      <alignment horizontal="left" vertical="center"/>
    </xf>
    <xf numFmtId="0" fontId="54" fillId="34" borderId="11" xfId="0" applyFont="1" applyFill="1" applyBorder="1" applyAlignment="1">
      <alignment horizontal="left" vertical="center"/>
    </xf>
    <xf numFmtId="0" fontId="33" fillId="36" borderId="36" xfId="0" applyFont="1" applyFill="1" applyBorder="1" applyAlignment="1">
      <alignment vertical="center"/>
    </xf>
    <xf numFmtId="0" fontId="33" fillId="36" borderId="11" xfId="0" applyFont="1" applyFill="1" applyBorder="1" applyAlignment="1">
      <alignment vertical="center"/>
    </xf>
    <xf numFmtId="0" fontId="33" fillId="36" borderId="12" xfId="0" applyFont="1" applyFill="1" applyBorder="1" applyAlignment="1">
      <alignment vertical="center"/>
    </xf>
    <xf numFmtId="0" fontId="9" fillId="0" borderId="0"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28" fillId="37" borderId="34" xfId="0" applyFont="1" applyFill="1" applyBorder="1" applyAlignment="1">
      <alignment horizontal="left" vertical="center"/>
    </xf>
    <xf numFmtId="0" fontId="28" fillId="37" borderId="37" xfId="0" applyFont="1" applyFill="1" applyBorder="1" applyAlignment="1">
      <alignment horizontal="left" vertical="center"/>
    </xf>
    <xf numFmtId="0" fontId="28" fillId="37" borderId="35" xfId="0" applyFont="1" applyFill="1" applyBorder="1" applyAlignment="1">
      <alignment horizontal="left" vertical="center"/>
    </xf>
    <xf numFmtId="0" fontId="31" fillId="36" borderId="19" xfId="0" applyFont="1" applyFill="1" applyBorder="1" applyAlignment="1">
      <alignment vertical="center"/>
    </xf>
    <xf numFmtId="0" fontId="31" fillId="36" borderId="20" xfId="0" applyFont="1" applyFill="1" applyBorder="1" applyAlignment="1">
      <alignment vertical="center"/>
    </xf>
    <xf numFmtId="0" fontId="31" fillId="36" borderId="30" xfId="0" applyFont="1" applyFill="1" applyBorder="1" applyAlignment="1">
      <alignment horizontal="center" vertical="center"/>
    </xf>
    <xf numFmtId="0" fontId="31" fillId="36" borderId="30" xfId="0" applyFont="1" applyFill="1" applyBorder="1" applyAlignment="1">
      <alignment vertical="center" wrapText="1"/>
    </xf>
    <xf numFmtId="175" fontId="31" fillId="36" borderId="31" xfId="46" applyNumberFormat="1" applyFont="1" applyFill="1" applyBorder="1" applyAlignment="1">
      <alignment vertical="center"/>
    </xf>
    <xf numFmtId="175" fontId="31" fillId="36" borderId="32" xfId="46" applyNumberFormat="1" applyFont="1" applyFill="1" applyBorder="1" applyAlignment="1">
      <alignment horizontal="left" vertical="center" shrinkToFit="1"/>
    </xf>
    <xf numFmtId="172" fontId="10" fillId="36" borderId="31" xfId="46" applyNumberFormat="1" applyFont="1" applyFill="1" applyBorder="1" applyAlignment="1">
      <alignment vertical="center"/>
    </xf>
    <xf numFmtId="0" fontId="31" fillId="36" borderId="32" xfId="0" applyFont="1" applyFill="1" applyBorder="1" applyAlignment="1">
      <alignment horizontal="left" vertical="center" shrinkToFi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0] 2" xfId="48"/>
    <cellStyle name="Currency" xfId="49"/>
    <cellStyle name="Currency [0]" xfId="50"/>
    <cellStyle name="Neutral" xfId="51"/>
    <cellStyle name="Normal 2" xfId="52"/>
    <cellStyle name="Notas" xfId="53"/>
    <cellStyle name="Percent" xfId="54"/>
    <cellStyle name="Porcentaje 2"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K171"/>
  <sheetViews>
    <sheetView showGridLines="0" tabSelected="1" zoomScaleSheetLayoutView="100" zoomScalePageLayoutView="0" workbookViewId="0" topLeftCell="A1">
      <selection activeCell="D8" sqref="D8"/>
    </sheetView>
  </sheetViews>
  <sheetFormatPr defaultColWidth="9.140625" defaultRowHeight="15.75" customHeight="1"/>
  <cols>
    <col min="1" max="1" width="4.57421875" style="4" customWidth="1"/>
    <col min="2" max="2" width="4.140625" style="4" bestFit="1" customWidth="1"/>
    <col min="3" max="3" width="14.28125" style="8" customWidth="1"/>
    <col min="4" max="4" width="66.00390625" style="4" bestFit="1" customWidth="1"/>
    <col min="5" max="5" width="19.421875" style="8" customWidth="1"/>
    <col min="6" max="6" width="16.8515625" style="6" bestFit="1" customWidth="1"/>
    <col min="7" max="7" width="3.8515625" style="12" customWidth="1"/>
    <col min="8" max="8" width="17.57421875" style="6" customWidth="1"/>
    <col min="9" max="9" width="3.8515625" style="13" customWidth="1"/>
    <col min="10" max="10" width="17.421875" style="14" customWidth="1"/>
    <col min="11" max="11" width="20.00390625" style="3" customWidth="1"/>
    <col min="12" max="21" width="9.140625" style="3" customWidth="1"/>
    <col min="22" max="38" width="9.140625" style="1" customWidth="1"/>
    <col min="39" max="114" width="9.140625" style="2" customWidth="1"/>
    <col min="115" max="16384" width="9.140625" style="4" customWidth="1"/>
  </cols>
  <sheetData>
    <row r="1" spans="1:9" ht="15.75" customHeight="1">
      <c r="A1" s="5"/>
      <c r="B1" s="5"/>
      <c r="C1" s="7"/>
      <c r="D1" s="5"/>
      <c r="E1" s="7"/>
      <c r="F1" s="9"/>
      <c r="G1" s="10"/>
      <c r="H1" s="9"/>
      <c r="I1" s="11"/>
    </row>
    <row r="2" spans="1:9" ht="15.75" customHeight="1">
      <c r="A2" s="5"/>
      <c r="B2" s="5"/>
      <c r="C2" s="16" t="s">
        <v>302</v>
      </c>
      <c r="D2" s="5"/>
      <c r="E2" s="7"/>
      <c r="F2" s="9"/>
      <c r="G2" s="10"/>
      <c r="H2" s="9"/>
      <c r="I2" s="11"/>
    </row>
    <row r="3" spans="1:9" ht="15.75" customHeight="1">
      <c r="A3" s="5"/>
      <c r="B3" s="5"/>
      <c r="C3" s="17" t="s">
        <v>204</v>
      </c>
      <c r="D3" s="5"/>
      <c r="E3" s="7"/>
      <c r="F3" s="9"/>
      <c r="G3" s="10"/>
      <c r="H3" s="9"/>
      <c r="I3" s="11"/>
    </row>
    <row r="4" spans="1:9" ht="18.75" customHeight="1" thickBot="1">
      <c r="A4" s="99"/>
      <c r="B4" s="99"/>
      <c r="C4" s="99"/>
      <c r="D4" s="99"/>
      <c r="E4" s="99"/>
      <c r="F4" s="99"/>
      <c r="G4" s="99"/>
      <c r="H4" s="99"/>
      <c r="I4" s="99"/>
    </row>
    <row r="5" spans="1:114" s="31" customFormat="1" ht="43.5" customHeight="1" thickBot="1">
      <c r="A5" s="100" t="s">
        <v>137</v>
      </c>
      <c r="B5" s="100"/>
      <c r="C5" s="15" t="s">
        <v>119</v>
      </c>
      <c r="D5" s="15" t="s">
        <v>101</v>
      </c>
      <c r="E5" s="15" t="s">
        <v>120</v>
      </c>
      <c r="F5" s="101" t="s">
        <v>227</v>
      </c>
      <c r="G5" s="102"/>
      <c r="H5" s="103" t="s">
        <v>230</v>
      </c>
      <c r="I5" s="104"/>
      <c r="J5" s="27"/>
      <c r="K5" s="28"/>
      <c r="L5" s="28"/>
      <c r="M5" s="28"/>
      <c r="N5" s="28"/>
      <c r="O5" s="28"/>
      <c r="P5" s="28"/>
      <c r="Q5" s="28"/>
      <c r="R5" s="28"/>
      <c r="S5" s="28"/>
      <c r="T5" s="28"/>
      <c r="U5" s="28"/>
      <c r="V5" s="29"/>
      <c r="W5" s="29"/>
      <c r="X5" s="29"/>
      <c r="Y5" s="29"/>
      <c r="Z5" s="29"/>
      <c r="AA5" s="29"/>
      <c r="AB5" s="29"/>
      <c r="AC5" s="29"/>
      <c r="AD5" s="29"/>
      <c r="AE5" s="29"/>
      <c r="AF5" s="29"/>
      <c r="AG5" s="29"/>
      <c r="AH5" s="29"/>
      <c r="AI5" s="29"/>
      <c r="AJ5" s="29"/>
      <c r="AK5" s="29"/>
      <c r="AL5" s="29"/>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row>
    <row r="6" spans="1:114" s="33" customFormat="1" ht="22.5" customHeight="1" thickBot="1">
      <c r="A6" s="112" t="s">
        <v>95</v>
      </c>
      <c r="B6" s="113"/>
      <c r="C6" s="113"/>
      <c r="D6" s="113"/>
      <c r="E6" s="113"/>
      <c r="F6" s="113"/>
      <c r="G6" s="113"/>
      <c r="H6" s="113"/>
      <c r="I6" s="114"/>
      <c r="J6" s="32">
        <f>+F6</f>
        <v>0</v>
      </c>
      <c r="K6" s="23">
        <f>+H6</f>
        <v>0</v>
      </c>
      <c r="L6" s="23"/>
      <c r="M6" s="23"/>
      <c r="N6" s="23"/>
      <c r="O6" s="23"/>
      <c r="P6" s="23"/>
      <c r="Q6" s="23"/>
      <c r="R6" s="23"/>
      <c r="S6" s="23"/>
      <c r="T6" s="23"/>
      <c r="U6" s="23"/>
      <c r="V6" s="24"/>
      <c r="W6" s="24"/>
      <c r="X6" s="24"/>
      <c r="Y6" s="24"/>
      <c r="Z6" s="24"/>
      <c r="AA6" s="24"/>
      <c r="AB6" s="24"/>
      <c r="AC6" s="24"/>
      <c r="AD6" s="24"/>
      <c r="AE6" s="24"/>
      <c r="AF6" s="24"/>
      <c r="AG6" s="24"/>
      <c r="AH6" s="24"/>
      <c r="AI6" s="24"/>
      <c r="AJ6" s="24"/>
      <c r="AK6" s="24"/>
      <c r="AL6" s="24"/>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row>
    <row r="7" spans="1:114" s="36" customFormat="1" ht="15.75" customHeight="1">
      <c r="A7" s="107" t="s">
        <v>96</v>
      </c>
      <c r="B7" s="108"/>
      <c r="C7" s="108"/>
      <c r="D7" s="108"/>
      <c r="E7" s="108"/>
      <c r="F7" s="108"/>
      <c r="G7" s="108"/>
      <c r="H7" s="108"/>
      <c r="I7" s="109"/>
      <c r="J7" s="45">
        <f>+F7</f>
        <v>0</v>
      </c>
      <c r="K7" s="46">
        <f>+H7</f>
        <v>0</v>
      </c>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row>
    <row r="8" spans="1:114" s="33" customFormat="1" ht="15.75" customHeight="1">
      <c r="A8" s="63">
        <v>1</v>
      </c>
      <c r="B8" s="56">
        <v>1</v>
      </c>
      <c r="C8" s="57" t="s">
        <v>97</v>
      </c>
      <c r="D8" s="58" t="s">
        <v>99</v>
      </c>
      <c r="E8" s="57" t="s">
        <v>122</v>
      </c>
      <c r="F8" s="59"/>
      <c r="G8" s="60"/>
      <c r="H8" s="61">
        <v>179000000</v>
      </c>
      <c r="I8" s="62" t="s">
        <v>147</v>
      </c>
      <c r="J8" s="22">
        <f>+F8</f>
        <v>0</v>
      </c>
      <c r="K8" s="37">
        <f>+H8</f>
        <v>179000000</v>
      </c>
      <c r="L8" s="23"/>
      <c r="M8" s="23"/>
      <c r="N8" s="23"/>
      <c r="O8" s="23"/>
      <c r="P8" s="23"/>
      <c r="Q8" s="23"/>
      <c r="R8" s="23"/>
      <c r="S8" s="23"/>
      <c r="T8" s="23"/>
      <c r="U8" s="23"/>
      <c r="V8" s="24"/>
      <c r="W8" s="24"/>
      <c r="X8" s="24"/>
      <c r="Y8" s="24"/>
      <c r="Z8" s="24"/>
      <c r="AA8" s="24"/>
      <c r="AB8" s="24"/>
      <c r="AC8" s="24"/>
      <c r="AD8" s="24"/>
      <c r="AE8" s="24"/>
      <c r="AF8" s="24"/>
      <c r="AG8" s="24"/>
      <c r="AH8" s="24"/>
      <c r="AI8" s="24"/>
      <c r="AJ8" s="24"/>
      <c r="AK8" s="24"/>
      <c r="AL8" s="24"/>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row>
    <row r="9" spans="1:114" s="33" customFormat="1" ht="15.75" customHeight="1">
      <c r="A9" s="64">
        <f>+A8+1</f>
        <v>2</v>
      </c>
      <c r="B9" s="65">
        <f>B8+1</f>
        <v>2</v>
      </c>
      <c r="C9" s="66" t="s">
        <v>98</v>
      </c>
      <c r="D9" s="67" t="s">
        <v>100</v>
      </c>
      <c r="E9" s="66" t="s">
        <v>148</v>
      </c>
      <c r="F9" s="68">
        <v>35100000</v>
      </c>
      <c r="G9" s="69"/>
      <c r="H9" s="70"/>
      <c r="I9" s="71"/>
      <c r="J9" s="22">
        <f>+F9</f>
        <v>35100000</v>
      </c>
      <c r="K9" s="37">
        <f>+H9</f>
        <v>0</v>
      </c>
      <c r="L9" s="23"/>
      <c r="M9" s="23"/>
      <c r="N9" s="23"/>
      <c r="O9" s="23"/>
      <c r="P9" s="23"/>
      <c r="Q9" s="23"/>
      <c r="R9" s="23"/>
      <c r="S9" s="23"/>
      <c r="T9" s="23"/>
      <c r="U9" s="23"/>
      <c r="V9" s="24"/>
      <c r="W9" s="24"/>
      <c r="X9" s="24"/>
      <c r="Y9" s="24"/>
      <c r="Z9" s="24"/>
      <c r="AA9" s="24"/>
      <c r="AB9" s="24"/>
      <c r="AC9" s="24"/>
      <c r="AD9" s="24"/>
      <c r="AE9" s="24"/>
      <c r="AF9" s="24"/>
      <c r="AG9" s="24"/>
      <c r="AH9" s="24"/>
      <c r="AI9" s="24"/>
      <c r="AJ9" s="24"/>
      <c r="AK9" s="24"/>
      <c r="AL9" s="24"/>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row>
    <row r="10" spans="1:114" s="26" customFormat="1" ht="15.75" customHeight="1">
      <c r="A10" s="105" t="s">
        <v>47</v>
      </c>
      <c r="B10" s="106"/>
      <c r="C10" s="106"/>
      <c r="D10" s="106"/>
      <c r="E10" s="18"/>
      <c r="F10" s="19">
        <f>SUM(F8:F9)</f>
        <v>35100000</v>
      </c>
      <c r="G10" s="19"/>
      <c r="H10" s="20">
        <f>SUM(H8:H9)</f>
        <v>179000000</v>
      </c>
      <c r="I10" s="21"/>
      <c r="J10" s="22"/>
      <c r="K10" s="23"/>
      <c r="L10" s="23"/>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row>
    <row r="11" spans="1:114" s="47" customFormat="1" ht="15.75" customHeight="1">
      <c r="A11" s="107" t="s">
        <v>38</v>
      </c>
      <c r="B11" s="108"/>
      <c r="C11" s="108"/>
      <c r="D11" s="108"/>
      <c r="E11" s="108"/>
      <c r="F11" s="108"/>
      <c r="G11" s="108"/>
      <c r="H11" s="108"/>
      <c r="I11" s="109"/>
      <c r="J11" s="45">
        <f aca="true" t="shared" si="0" ref="J11:J57">+F11</f>
        <v>0</v>
      </c>
      <c r="K11" s="46">
        <f aca="true" t="shared" si="1" ref="K11:K57">+H11</f>
        <v>0</v>
      </c>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row>
    <row r="12" spans="1:114" s="33" customFormat="1" ht="15.75" customHeight="1">
      <c r="A12" s="63">
        <f>+A9+1</f>
        <v>3</v>
      </c>
      <c r="B12" s="56">
        <v>1</v>
      </c>
      <c r="C12" s="57" t="s">
        <v>15</v>
      </c>
      <c r="D12" s="58" t="s">
        <v>205</v>
      </c>
      <c r="E12" s="57" t="s">
        <v>146</v>
      </c>
      <c r="F12" s="59">
        <v>12000000</v>
      </c>
      <c r="G12" s="60"/>
      <c r="H12" s="61">
        <v>535723</v>
      </c>
      <c r="I12" s="62" t="s">
        <v>147</v>
      </c>
      <c r="J12" s="22">
        <f t="shared" si="0"/>
        <v>12000000</v>
      </c>
      <c r="K12" s="37">
        <f t="shared" si="1"/>
        <v>535723</v>
      </c>
      <c r="L12" s="23"/>
      <c r="M12" s="23"/>
      <c r="N12" s="23"/>
      <c r="O12" s="23"/>
      <c r="P12" s="23"/>
      <c r="Q12" s="23"/>
      <c r="R12" s="23"/>
      <c r="S12" s="23"/>
      <c r="T12" s="23"/>
      <c r="U12" s="23"/>
      <c r="V12" s="24"/>
      <c r="W12" s="24"/>
      <c r="X12" s="24"/>
      <c r="Y12" s="24"/>
      <c r="Z12" s="24"/>
      <c r="AA12" s="24"/>
      <c r="AB12" s="24"/>
      <c r="AC12" s="24"/>
      <c r="AD12" s="24"/>
      <c r="AE12" s="24"/>
      <c r="AF12" s="24"/>
      <c r="AG12" s="24"/>
      <c r="AH12" s="24"/>
      <c r="AI12" s="24"/>
      <c r="AJ12" s="24"/>
      <c r="AK12" s="24"/>
      <c r="AL12" s="24"/>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row>
    <row r="13" spans="1:114" s="33" customFormat="1" ht="15.75" customHeight="1">
      <c r="A13" s="63">
        <f>A12+1</f>
        <v>4</v>
      </c>
      <c r="B13" s="56">
        <f>B12+1</f>
        <v>2</v>
      </c>
      <c r="C13" s="57" t="s">
        <v>16</v>
      </c>
      <c r="D13" s="58" t="s">
        <v>206</v>
      </c>
      <c r="E13" s="57" t="s">
        <v>146</v>
      </c>
      <c r="F13" s="59">
        <v>8700000</v>
      </c>
      <c r="G13" s="60"/>
      <c r="H13" s="61">
        <v>5000000</v>
      </c>
      <c r="I13" s="62"/>
      <c r="J13" s="22">
        <f t="shared" si="0"/>
        <v>8700000</v>
      </c>
      <c r="K13" s="37">
        <f t="shared" si="1"/>
        <v>5000000</v>
      </c>
      <c r="L13" s="23"/>
      <c r="M13" s="23"/>
      <c r="N13" s="23"/>
      <c r="O13" s="23"/>
      <c r="P13" s="23"/>
      <c r="Q13" s="23"/>
      <c r="R13" s="23"/>
      <c r="S13" s="23"/>
      <c r="T13" s="23"/>
      <c r="U13" s="23"/>
      <c r="V13" s="24"/>
      <c r="W13" s="24"/>
      <c r="X13" s="24"/>
      <c r="Y13" s="24"/>
      <c r="Z13" s="24"/>
      <c r="AA13" s="24"/>
      <c r="AB13" s="24"/>
      <c r="AC13" s="24"/>
      <c r="AD13" s="24"/>
      <c r="AE13" s="24"/>
      <c r="AF13" s="24"/>
      <c r="AG13" s="24"/>
      <c r="AH13" s="24"/>
      <c r="AI13" s="24"/>
      <c r="AJ13" s="24"/>
      <c r="AK13" s="24"/>
      <c r="AL13" s="24"/>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row>
    <row r="14" spans="1:114" s="26" customFormat="1" ht="15.75" customHeight="1">
      <c r="A14" s="105" t="s">
        <v>274</v>
      </c>
      <c r="B14" s="106"/>
      <c r="C14" s="106"/>
      <c r="D14" s="106"/>
      <c r="E14" s="18"/>
      <c r="F14" s="19">
        <f>F12+F13</f>
        <v>20700000</v>
      </c>
      <c r="G14" s="19"/>
      <c r="H14" s="20">
        <f>H12+H13</f>
        <v>5535723</v>
      </c>
      <c r="I14" s="21"/>
      <c r="J14" s="22"/>
      <c r="K14" s="23"/>
      <c r="L14" s="23"/>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row>
    <row r="15" spans="1:114" s="33" customFormat="1" ht="15.75" customHeight="1">
      <c r="A15" s="63">
        <f>A13+1</f>
        <v>5</v>
      </c>
      <c r="B15" s="56">
        <f>B13+1</f>
        <v>3</v>
      </c>
      <c r="C15" s="57" t="s">
        <v>2</v>
      </c>
      <c r="D15" s="58" t="s">
        <v>207</v>
      </c>
      <c r="E15" s="57" t="s">
        <v>3</v>
      </c>
      <c r="F15" s="59">
        <v>2112222</v>
      </c>
      <c r="G15" s="60"/>
      <c r="H15" s="61">
        <v>1184303</v>
      </c>
      <c r="I15" s="62" t="s">
        <v>147</v>
      </c>
      <c r="J15" s="22">
        <f t="shared" si="0"/>
        <v>2112222</v>
      </c>
      <c r="K15" s="37">
        <f t="shared" si="1"/>
        <v>1184303</v>
      </c>
      <c r="L15" s="23"/>
      <c r="M15" s="23"/>
      <c r="N15" s="23"/>
      <c r="O15" s="23"/>
      <c r="P15" s="23"/>
      <c r="Q15" s="23"/>
      <c r="R15" s="23"/>
      <c r="S15" s="23"/>
      <c r="T15" s="23"/>
      <c r="U15" s="23"/>
      <c r="V15" s="24"/>
      <c r="W15" s="24"/>
      <c r="X15" s="24"/>
      <c r="Y15" s="24"/>
      <c r="Z15" s="24"/>
      <c r="AA15" s="24"/>
      <c r="AB15" s="24"/>
      <c r="AC15" s="24"/>
      <c r="AD15" s="24"/>
      <c r="AE15" s="24"/>
      <c r="AF15" s="24"/>
      <c r="AG15" s="24"/>
      <c r="AH15" s="24"/>
      <c r="AI15" s="24"/>
      <c r="AJ15" s="24"/>
      <c r="AK15" s="24"/>
      <c r="AL15" s="24"/>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row>
    <row r="16" spans="1:114" s="33" customFormat="1" ht="15.75" customHeight="1">
      <c r="A16" s="63">
        <f aca="true" t="shared" si="2" ref="A16:B34">A15+1</f>
        <v>6</v>
      </c>
      <c r="B16" s="56">
        <f>B15+1</f>
        <v>4</v>
      </c>
      <c r="C16" s="57" t="s">
        <v>2</v>
      </c>
      <c r="D16" s="58" t="s">
        <v>208</v>
      </c>
      <c r="E16" s="57" t="s">
        <v>3</v>
      </c>
      <c r="F16" s="59">
        <v>4507777</v>
      </c>
      <c r="G16" s="60"/>
      <c r="H16" s="61">
        <v>5520960</v>
      </c>
      <c r="I16" s="62" t="s">
        <v>147</v>
      </c>
      <c r="J16" s="22">
        <f t="shared" si="0"/>
        <v>4507777</v>
      </c>
      <c r="K16" s="37">
        <f t="shared" si="1"/>
        <v>5520960</v>
      </c>
      <c r="L16" s="23"/>
      <c r="M16" s="23"/>
      <c r="N16" s="23"/>
      <c r="O16" s="23"/>
      <c r="P16" s="23"/>
      <c r="Q16" s="23"/>
      <c r="R16" s="23"/>
      <c r="S16" s="23"/>
      <c r="T16" s="23"/>
      <c r="U16" s="23"/>
      <c r="V16" s="24"/>
      <c r="W16" s="24"/>
      <c r="X16" s="24"/>
      <c r="Y16" s="24"/>
      <c r="Z16" s="24"/>
      <c r="AA16" s="24"/>
      <c r="AB16" s="24"/>
      <c r="AC16" s="24"/>
      <c r="AD16" s="24"/>
      <c r="AE16" s="24"/>
      <c r="AF16" s="24"/>
      <c r="AG16" s="24"/>
      <c r="AH16" s="24"/>
      <c r="AI16" s="24"/>
      <c r="AJ16" s="24"/>
      <c r="AK16" s="24"/>
      <c r="AL16" s="24"/>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row>
    <row r="17" spans="1:114" s="26" customFormat="1" ht="15.75" customHeight="1">
      <c r="A17" s="105" t="s">
        <v>275</v>
      </c>
      <c r="B17" s="106"/>
      <c r="C17" s="106"/>
      <c r="D17" s="106"/>
      <c r="E17" s="18"/>
      <c r="F17" s="19">
        <f>F15+F16</f>
        <v>6619999</v>
      </c>
      <c r="G17" s="19"/>
      <c r="H17" s="20">
        <f>H15+H16</f>
        <v>6705263</v>
      </c>
      <c r="I17" s="21"/>
      <c r="J17" s="22"/>
      <c r="K17" s="23"/>
      <c r="L17" s="23"/>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row>
    <row r="18" spans="1:38" s="25" customFormat="1" ht="15.75" customHeight="1">
      <c r="A18" s="63">
        <f>A16+1</f>
        <v>7</v>
      </c>
      <c r="B18" s="56">
        <f>B16+1</f>
        <v>5</v>
      </c>
      <c r="C18" s="57" t="s">
        <v>105</v>
      </c>
      <c r="D18" s="58" t="s">
        <v>209</v>
      </c>
      <c r="E18" s="57" t="s">
        <v>122</v>
      </c>
      <c r="F18" s="59"/>
      <c r="G18" s="60"/>
      <c r="H18" s="61">
        <v>74480000</v>
      </c>
      <c r="I18" s="62" t="s">
        <v>147</v>
      </c>
      <c r="J18" s="22">
        <f t="shared" si="0"/>
        <v>0</v>
      </c>
      <c r="K18" s="37">
        <f t="shared" si="1"/>
        <v>74480000</v>
      </c>
      <c r="L18" s="23"/>
      <c r="M18" s="23"/>
      <c r="N18" s="23"/>
      <c r="O18" s="23"/>
      <c r="P18" s="23"/>
      <c r="Q18" s="23"/>
      <c r="R18" s="23"/>
      <c r="S18" s="23"/>
      <c r="T18" s="23"/>
      <c r="U18" s="23"/>
      <c r="V18" s="24"/>
      <c r="W18" s="24"/>
      <c r="X18" s="24"/>
      <c r="Y18" s="24"/>
      <c r="Z18" s="24"/>
      <c r="AA18" s="24"/>
      <c r="AB18" s="24"/>
      <c r="AC18" s="24"/>
      <c r="AD18" s="24"/>
      <c r="AE18" s="24"/>
      <c r="AF18" s="24"/>
      <c r="AG18" s="24"/>
      <c r="AH18" s="24"/>
      <c r="AI18" s="24"/>
      <c r="AJ18" s="24"/>
      <c r="AK18" s="24"/>
      <c r="AL18" s="24"/>
    </row>
    <row r="19" spans="1:114" s="39" customFormat="1" ht="15.75" customHeight="1">
      <c r="A19" s="63">
        <f t="shared" si="2"/>
        <v>8</v>
      </c>
      <c r="B19" s="56">
        <f t="shared" si="2"/>
        <v>6</v>
      </c>
      <c r="C19" s="57" t="s">
        <v>107</v>
      </c>
      <c r="D19" s="58" t="s">
        <v>210</v>
      </c>
      <c r="E19" s="57" t="s">
        <v>50</v>
      </c>
      <c r="F19" s="59">
        <v>9680000</v>
      </c>
      <c r="G19" s="60"/>
      <c r="H19" s="61">
        <v>7800000</v>
      </c>
      <c r="I19" s="62" t="s">
        <v>147</v>
      </c>
      <c r="J19" s="22">
        <f t="shared" si="0"/>
        <v>9680000</v>
      </c>
      <c r="K19" s="37">
        <f t="shared" si="1"/>
        <v>7800000</v>
      </c>
      <c r="L19" s="23"/>
      <c r="M19" s="23"/>
      <c r="N19" s="23"/>
      <c r="O19" s="23"/>
      <c r="P19" s="23"/>
      <c r="Q19" s="23"/>
      <c r="R19" s="23"/>
      <c r="S19" s="23"/>
      <c r="T19" s="23"/>
      <c r="U19" s="23"/>
      <c r="V19" s="24"/>
      <c r="W19" s="24"/>
      <c r="X19" s="24"/>
      <c r="Y19" s="24"/>
      <c r="Z19" s="24"/>
      <c r="AA19" s="24"/>
      <c r="AB19" s="24"/>
      <c r="AC19" s="24"/>
      <c r="AD19" s="24"/>
      <c r="AE19" s="24"/>
      <c r="AF19" s="24"/>
      <c r="AG19" s="24"/>
      <c r="AH19" s="24"/>
      <c r="AI19" s="24"/>
      <c r="AJ19" s="24"/>
      <c r="AK19" s="24"/>
      <c r="AL19" s="24"/>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row>
    <row r="20" spans="1:114" s="44" customFormat="1" ht="15.75" customHeight="1">
      <c r="A20" s="63">
        <f t="shared" si="2"/>
        <v>9</v>
      </c>
      <c r="B20" s="56">
        <f t="shared" si="2"/>
        <v>7</v>
      </c>
      <c r="C20" s="57" t="s">
        <v>109</v>
      </c>
      <c r="D20" s="58" t="s">
        <v>211</v>
      </c>
      <c r="E20" s="57" t="s">
        <v>146</v>
      </c>
      <c r="F20" s="59"/>
      <c r="G20" s="60"/>
      <c r="H20" s="61">
        <v>157000000</v>
      </c>
      <c r="I20" s="62" t="s">
        <v>147</v>
      </c>
      <c r="J20" s="22">
        <f t="shared" si="0"/>
        <v>0</v>
      </c>
      <c r="K20" s="37">
        <f t="shared" si="1"/>
        <v>157000000</v>
      </c>
      <c r="L20" s="23"/>
      <c r="M20" s="23"/>
      <c r="N20" s="23"/>
      <c r="O20" s="23"/>
      <c r="P20" s="23"/>
      <c r="Q20" s="23"/>
      <c r="R20" s="23"/>
      <c r="S20" s="23"/>
      <c r="T20" s="23"/>
      <c r="U20" s="23"/>
      <c r="V20" s="24"/>
      <c r="W20" s="24"/>
      <c r="X20" s="24"/>
      <c r="Y20" s="24"/>
      <c r="Z20" s="24"/>
      <c r="AA20" s="24"/>
      <c r="AB20" s="24"/>
      <c r="AC20" s="24"/>
      <c r="AD20" s="24"/>
      <c r="AE20" s="24"/>
      <c r="AF20" s="24"/>
      <c r="AG20" s="24"/>
      <c r="AH20" s="24"/>
      <c r="AI20" s="24"/>
      <c r="AJ20" s="24"/>
      <c r="AK20" s="24"/>
      <c r="AL20" s="24"/>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row>
    <row r="21" spans="1:114" s="26" customFormat="1" ht="15.75" customHeight="1">
      <c r="A21" s="105" t="s">
        <v>276</v>
      </c>
      <c r="B21" s="106"/>
      <c r="C21" s="106"/>
      <c r="D21" s="106"/>
      <c r="E21" s="18"/>
      <c r="F21" s="19">
        <f>F19</f>
        <v>9680000</v>
      </c>
      <c r="G21" s="19"/>
      <c r="H21" s="20">
        <f>H18+H19+H20</f>
        <v>239280000</v>
      </c>
      <c r="I21" s="21"/>
      <c r="J21" s="22"/>
      <c r="K21" s="23"/>
      <c r="L21" s="23"/>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row>
    <row r="22" spans="1:114" s="38" customFormat="1" ht="15.75" customHeight="1">
      <c r="A22" s="63">
        <f>A20+1</f>
        <v>10</v>
      </c>
      <c r="B22" s="56">
        <f>B20+1</f>
        <v>8</v>
      </c>
      <c r="C22" s="57" t="s">
        <v>78</v>
      </c>
      <c r="D22" s="58" t="s">
        <v>212</v>
      </c>
      <c r="E22" s="57" t="s">
        <v>79</v>
      </c>
      <c r="F22" s="59"/>
      <c r="G22" s="60"/>
      <c r="H22" s="61">
        <v>80000000</v>
      </c>
      <c r="I22" s="62" t="s">
        <v>147</v>
      </c>
      <c r="J22" s="22">
        <f t="shared" si="0"/>
        <v>0</v>
      </c>
      <c r="K22" s="37">
        <f t="shared" si="1"/>
        <v>80000000</v>
      </c>
      <c r="L22" s="23"/>
      <c r="M22" s="23"/>
      <c r="N22" s="23"/>
      <c r="O22" s="23"/>
      <c r="P22" s="23"/>
      <c r="Q22" s="23"/>
      <c r="R22" s="23"/>
      <c r="S22" s="23"/>
      <c r="T22" s="23"/>
      <c r="U22" s="23"/>
      <c r="V22" s="24"/>
      <c r="W22" s="24"/>
      <c r="X22" s="24"/>
      <c r="Y22" s="24"/>
      <c r="Z22" s="24"/>
      <c r="AA22" s="24"/>
      <c r="AB22" s="24"/>
      <c r="AC22" s="24"/>
      <c r="AD22" s="24"/>
      <c r="AE22" s="24"/>
      <c r="AF22" s="24"/>
      <c r="AG22" s="24"/>
      <c r="AH22" s="24"/>
      <c r="AI22" s="24"/>
      <c r="AJ22" s="24"/>
      <c r="AK22" s="24"/>
      <c r="AL22" s="24"/>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row>
    <row r="23" spans="1:114" s="38" customFormat="1" ht="15.75" customHeight="1">
      <c r="A23" s="63">
        <f t="shared" si="2"/>
        <v>11</v>
      </c>
      <c r="B23" s="56">
        <f t="shared" si="2"/>
        <v>9</v>
      </c>
      <c r="C23" s="57" t="s">
        <v>17</v>
      </c>
      <c r="D23" s="58" t="s">
        <v>213</v>
      </c>
      <c r="E23" s="57" t="s">
        <v>132</v>
      </c>
      <c r="F23" s="59">
        <v>180000000</v>
      </c>
      <c r="G23" s="60"/>
      <c r="H23" s="61"/>
      <c r="I23" s="62"/>
      <c r="J23" s="22">
        <f t="shared" si="0"/>
        <v>180000000</v>
      </c>
      <c r="K23" s="37">
        <f t="shared" si="1"/>
        <v>0</v>
      </c>
      <c r="L23" s="23"/>
      <c r="M23" s="23"/>
      <c r="N23" s="23"/>
      <c r="O23" s="23"/>
      <c r="P23" s="23"/>
      <c r="Q23" s="23"/>
      <c r="R23" s="23"/>
      <c r="S23" s="23"/>
      <c r="T23" s="23"/>
      <c r="U23" s="23"/>
      <c r="V23" s="24"/>
      <c r="W23" s="24"/>
      <c r="X23" s="24"/>
      <c r="Y23" s="24"/>
      <c r="Z23" s="24"/>
      <c r="AA23" s="24"/>
      <c r="AB23" s="24"/>
      <c r="AC23" s="24"/>
      <c r="AD23" s="24"/>
      <c r="AE23" s="24"/>
      <c r="AF23" s="24"/>
      <c r="AG23" s="24"/>
      <c r="AH23" s="24"/>
      <c r="AI23" s="24"/>
      <c r="AJ23" s="24"/>
      <c r="AK23" s="24"/>
      <c r="AL23" s="24"/>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row>
    <row r="24" spans="1:114" s="41" customFormat="1" ht="15.75" customHeight="1">
      <c r="A24" s="63">
        <f t="shared" si="2"/>
        <v>12</v>
      </c>
      <c r="B24" s="56">
        <f t="shared" si="2"/>
        <v>10</v>
      </c>
      <c r="C24" s="57" t="s">
        <v>92</v>
      </c>
      <c r="D24" s="58" t="s">
        <v>214</v>
      </c>
      <c r="E24" s="57" t="s">
        <v>132</v>
      </c>
      <c r="F24" s="59">
        <v>9850000</v>
      </c>
      <c r="G24" s="60"/>
      <c r="H24" s="61"/>
      <c r="I24" s="62"/>
      <c r="J24" s="22">
        <f t="shared" si="0"/>
        <v>9850000</v>
      </c>
      <c r="K24" s="37">
        <f t="shared" si="1"/>
        <v>0</v>
      </c>
      <c r="L24" s="23"/>
      <c r="M24" s="23"/>
      <c r="N24" s="23"/>
      <c r="O24" s="23"/>
      <c r="P24" s="23"/>
      <c r="Q24" s="23"/>
      <c r="R24" s="23"/>
      <c r="S24" s="23"/>
      <c r="T24" s="23"/>
      <c r="U24" s="23"/>
      <c r="V24" s="24"/>
      <c r="W24" s="24"/>
      <c r="X24" s="24"/>
      <c r="Y24" s="24"/>
      <c r="Z24" s="24"/>
      <c r="AA24" s="24"/>
      <c r="AB24" s="24"/>
      <c r="AC24" s="24"/>
      <c r="AD24" s="24"/>
      <c r="AE24" s="24"/>
      <c r="AF24" s="24"/>
      <c r="AG24" s="24"/>
      <c r="AH24" s="24"/>
      <c r="AI24" s="24"/>
      <c r="AJ24" s="24"/>
      <c r="AK24" s="24"/>
      <c r="AL24" s="24"/>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row>
    <row r="25" spans="1:114" s="41" customFormat="1" ht="15.75" customHeight="1">
      <c r="A25" s="63">
        <f t="shared" si="2"/>
        <v>13</v>
      </c>
      <c r="B25" s="56">
        <f t="shared" si="2"/>
        <v>11</v>
      </c>
      <c r="C25" s="57" t="s">
        <v>92</v>
      </c>
      <c r="D25" s="58" t="s">
        <v>215</v>
      </c>
      <c r="E25" s="57" t="s">
        <v>132</v>
      </c>
      <c r="F25" s="59">
        <v>9700700</v>
      </c>
      <c r="G25" s="60"/>
      <c r="H25" s="61"/>
      <c r="I25" s="62"/>
      <c r="J25" s="22">
        <f t="shared" si="0"/>
        <v>9700700</v>
      </c>
      <c r="K25" s="37">
        <f t="shared" si="1"/>
        <v>0</v>
      </c>
      <c r="L25" s="23"/>
      <c r="M25" s="23"/>
      <c r="N25" s="23"/>
      <c r="O25" s="23"/>
      <c r="P25" s="23"/>
      <c r="Q25" s="23"/>
      <c r="R25" s="23"/>
      <c r="S25" s="23"/>
      <c r="T25" s="23"/>
      <c r="U25" s="23"/>
      <c r="V25" s="24"/>
      <c r="W25" s="24"/>
      <c r="X25" s="24"/>
      <c r="Y25" s="24"/>
      <c r="Z25" s="24"/>
      <c r="AA25" s="24"/>
      <c r="AB25" s="24"/>
      <c r="AC25" s="24"/>
      <c r="AD25" s="24"/>
      <c r="AE25" s="24"/>
      <c r="AF25" s="24"/>
      <c r="AG25" s="24"/>
      <c r="AH25" s="24"/>
      <c r="AI25" s="24"/>
      <c r="AJ25" s="24"/>
      <c r="AK25" s="24"/>
      <c r="AL25" s="24"/>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row>
    <row r="26" spans="1:114" s="43" customFormat="1" ht="15.75" customHeight="1">
      <c r="A26" s="63">
        <f t="shared" si="2"/>
        <v>14</v>
      </c>
      <c r="B26" s="56">
        <f t="shared" si="2"/>
        <v>12</v>
      </c>
      <c r="C26" s="57" t="s">
        <v>87</v>
      </c>
      <c r="D26" s="58" t="s">
        <v>216</v>
      </c>
      <c r="E26" s="57" t="s">
        <v>121</v>
      </c>
      <c r="F26" s="59"/>
      <c r="G26" s="60"/>
      <c r="H26" s="61">
        <f>1449000000-349000000</f>
        <v>1100000000</v>
      </c>
      <c r="I26" s="62" t="s">
        <v>147</v>
      </c>
      <c r="J26" s="22">
        <f t="shared" si="0"/>
        <v>0</v>
      </c>
      <c r="K26" s="37">
        <f t="shared" si="1"/>
        <v>1100000000</v>
      </c>
      <c r="L26" s="23"/>
      <c r="M26" s="23"/>
      <c r="N26" s="23"/>
      <c r="O26" s="23"/>
      <c r="P26" s="23"/>
      <c r="Q26" s="23"/>
      <c r="R26" s="23"/>
      <c r="S26" s="23"/>
      <c r="T26" s="23"/>
      <c r="U26" s="23"/>
      <c r="V26" s="24"/>
      <c r="W26" s="24"/>
      <c r="X26" s="24"/>
      <c r="Y26" s="24"/>
      <c r="Z26" s="24"/>
      <c r="AA26" s="24"/>
      <c r="AB26" s="24"/>
      <c r="AC26" s="24"/>
      <c r="AD26" s="24"/>
      <c r="AE26" s="24"/>
      <c r="AF26" s="24"/>
      <c r="AG26" s="24"/>
      <c r="AH26" s="24"/>
      <c r="AI26" s="24"/>
      <c r="AJ26" s="24"/>
      <c r="AK26" s="24"/>
      <c r="AL26" s="24"/>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row>
    <row r="27" spans="1:114" s="40" customFormat="1" ht="15.75" customHeight="1">
      <c r="A27" s="63">
        <f t="shared" si="2"/>
        <v>15</v>
      </c>
      <c r="B27" s="56">
        <f t="shared" si="2"/>
        <v>13</v>
      </c>
      <c r="C27" s="57" t="s">
        <v>62</v>
      </c>
      <c r="D27" s="58" t="s">
        <v>217</v>
      </c>
      <c r="E27" s="57" t="s">
        <v>146</v>
      </c>
      <c r="F27" s="59"/>
      <c r="G27" s="60"/>
      <c r="H27" s="61">
        <v>1214000000</v>
      </c>
      <c r="I27" s="62" t="s">
        <v>147</v>
      </c>
      <c r="J27" s="22">
        <f t="shared" si="0"/>
        <v>0</v>
      </c>
      <c r="K27" s="37">
        <f t="shared" si="1"/>
        <v>1214000000</v>
      </c>
      <c r="L27" s="23"/>
      <c r="M27" s="23"/>
      <c r="N27" s="23"/>
      <c r="O27" s="23"/>
      <c r="P27" s="23"/>
      <c r="Q27" s="23"/>
      <c r="R27" s="23"/>
      <c r="S27" s="23"/>
      <c r="T27" s="23"/>
      <c r="U27" s="23"/>
      <c r="V27" s="24"/>
      <c r="W27" s="24"/>
      <c r="X27" s="24"/>
      <c r="Y27" s="24"/>
      <c r="Z27" s="24"/>
      <c r="AA27" s="24"/>
      <c r="AB27" s="24"/>
      <c r="AC27" s="24"/>
      <c r="AD27" s="24"/>
      <c r="AE27" s="24"/>
      <c r="AF27" s="24"/>
      <c r="AG27" s="24"/>
      <c r="AH27" s="24"/>
      <c r="AI27" s="24"/>
      <c r="AJ27" s="24"/>
      <c r="AK27" s="24"/>
      <c r="AL27" s="24"/>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row>
    <row r="28" spans="1:114" s="42" customFormat="1" ht="15.75" customHeight="1">
      <c r="A28" s="63">
        <f t="shared" si="2"/>
        <v>16</v>
      </c>
      <c r="B28" s="56">
        <f t="shared" si="2"/>
        <v>14</v>
      </c>
      <c r="C28" s="57" t="s">
        <v>20</v>
      </c>
      <c r="D28" s="58" t="s">
        <v>22</v>
      </c>
      <c r="E28" s="57" t="s">
        <v>132</v>
      </c>
      <c r="F28" s="59">
        <v>10301000</v>
      </c>
      <c r="G28" s="60"/>
      <c r="H28" s="61"/>
      <c r="I28" s="62"/>
      <c r="J28" s="22">
        <f t="shared" si="0"/>
        <v>10301000</v>
      </c>
      <c r="K28" s="37">
        <f t="shared" si="1"/>
        <v>0</v>
      </c>
      <c r="L28" s="23"/>
      <c r="M28" s="23"/>
      <c r="N28" s="23"/>
      <c r="O28" s="23"/>
      <c r="P28" s="23"/>
      <c r="Q28" s="23"/>
      <c r="R28" s="23"/>
      <c r="S28" s="23"/>
      <c r="T28" s="23"/>
      <c r="U28" s="23"/>
      <c r="V28" s="24"/>
      <c r="W28" s="24"/>
      <c r="X28" s="24"/>
      <c r="Y28" s="24"/>
      <c r="Z28" s="24"/>
      <c r="AA28" s="24"/>
      <c r="AB28" s="24"/>
      <c r="AC28" s="24"/>
      <c r="AD28" s="24"/>
      <c r="AE28" s="24"/>
      <c r="AF28" s="24"/>
      <c r="AG28" s="24"/>
      <c r="AH28" s="24"/>
      <c r="AI28" s="24"/>
      <c r="AJ28" s="24"/>
      <c r="AK28" s="24"/>
      <c r="AL28" s="24"/>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row>
    <row r="29" spans="1:114" s="26" customFormat="1" ht="15.75" customHeight="1">
      <c r="A29" s="105" t="s">
        <v>277</v>
      </c>
      <c r="B29" s="106"/>
      <c r="C29" s="106"/>
      <c r="D29" s="106"/>
      <c r="E29" s="18"/>
      <c r="F29" s="19">
        <f>SUM(F22:F28)</f>
        <v>209851700</v>
      </c>
      <c r="G29" s="19"/>
      <c r="H29" s="19">
        <f>SUM(H22:H28)</f>
        <v>2394000000</v>
      </c>
      <c r="I29" s="21"/>
      <c r="J29" s="22"/>
      <c r="K29" s="23"/>
      <c r="L29" s="23"/>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row>
    <row r="30" spans="1:114" s="42" customFormat="1" ht="25.5" customHeight="1">
      <c r="A30" s="63">
        <f>A28+1</f>
        <v>17</v>
      </c>
      <c r="B30" s="56">
        <f>B28+1</f>
        <v>15</v>
      </c>
      <c r="C30" s="57" t="s">
        <v>23</v>
      </c>
      <c r="D30" s="58" t="s">
        <v>24</v>
      </c>
      <c r="E30" s="57" t="s">
        <v>122</v>
      </c>
      <c r="F30" s="59"/>
      <c r="G30" s="60"/>
      <c r="H30" s="61">
        <v>65400000</v>
      </c>
      <c r="I30" s="62" t="s">
        <v>147</v>
      </c>
      <c r="J30" s="22">
        <f t="shared" si="0"/>
        <v>0</v>
      </c>
      <c r="K30" s="37">
        <f t="shared" si="1"/>
        <v>65400000</v>
      </c>
      <c r="L30" s="23"/>
      <c r="M30" s="23"/>
      <c r="N30" s="23"/>
      <c r="O30" s="23"/>
      <c r="P30" s="23"/>
      <c r="Q30" s="23"/>
      <c r="R30" s="23"/>
      <c r="S30" s="23"/>
      <c r="T30" s="23"/>
      <c r="U30" s="23"/>
      <c r="V30" s="24"/>
      <c r="W30" s="24"/>
      <c r="X30" s="24"/>
      <c r="Y30" s="24"/>
      <c r="Z30" s="24"/>
      <c r="AA30" s="24"/>
      <c r="AB30" s="24"/>
      <c r="AC30" s="24"/>
      <c r="AD30" s="24"/>
      <c r="AE30" s="24"/>
      <c r="AF30" s="24"/>
      <c r="AG30" s="24"/>
      <c r="AH30" s="24"/>
      <c r="AI30" s="24"/>
      <c r="AJ30" s="24"/>
      <c r="AK30" s="24"/>
      <c r="AL30" s="24"/>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row>
    <row r="31" spans="1:114" s="26" customFormat="1" ht="15.75" customHeight="1">
      <c r="A31" s="105" t="s">
        <v>278</v>
      </c>
      <c r="B31" s="106"/>
      <c r="C31" s="106"/>
      <c r="D31" s="106"/>
      <c r="E31" s="18"/>
      <c r="F31" s="19"/>
      <c r="G31" s="19"/>
      <c r="H31" s="20">
        <f>H30</f>
        <v>65400000</v>
      </c>
      <c r="I31" s="21"/>
      <c r="J31" s="22"/>
      <c r="K31" s="23"/>
      <c r="L31" s="23"/>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row>
    <row r="32" spans="1:114" s="40" customFormat="1" ht="15.75" customHeight="1">
      <c r="A32" s="63">
        <f>A30+1</f>
        <v>18</v>
      </c>
      <c r="B32" s="56">
        <f>B30+1</f>
        <v>16</v>
      </c>
      <c r="C32" s="57" t="s">
        <v>29</v>
      </c>
      <c r="D32" s="58" t="s">
        <v>218</v>
      </c>
      <c r="E32" s="57" t="s">
        <v>146</v>
      </c>
      <c r="F32" s="59"/>
      <c r="G32" s="60"/>
      <c r="H32" s="61">
        <f>73070000/1.19</f>
        <v>61403361.34453782</v>
      </c>
      <c r="I32" s="62"/>
      <c r="J32" s="22">
        <f t="shared" si="0"/>
        <v>0</v>
      </c>
      <c r="K32" s="37">
        <f t="shared" si="1"/>
        <v>61403361.34453782</v>
      </c>
      <c r="L32" s="23"/>
      <c r="M32" s="23"/>
      <c r="N32" s="23"/>
      <c r="O32" s="23"/>
      <c r="P32" s="23"/>
      <c r="Q32" s="23"/>
      <c r="R32" s="23"/>
      <c r="S32" s="23"/>
      <c r="T32" s="23"/>
      <c r="U32" s="23"/>
      <c r="V32" s="24"/>
      <c r="W32" s="24"/>
      <c r="X32" s="24"/>
      <c r="Y32" s="24"/>
      <c r="Z32" s="24"/>
      <c r="AA32" s="24"/>
      <c r="AB32" s="24"/>
      <c r="AC32" s="24"/>
      <c r="AD32" s="24"/>
      <c r="AE32" s="24"/>
      <c r="AF32" s="24"/>
      <c r="AG32" s="24"/>
      <c r="AH32" s="24"/>
      <c r="AI32" s="24"/>
      <c r="AJ32" s="24"/>
      <c r="AK32" s="24"/>
      <c r="AL32" s="24"/>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row>
    <row r="33" spans="1:114" s="33" customFormat="1" ht="23.25" customHeight="1">
      <c r="A33" s="63">
        <f t="shared" si="2"/>
        <v>19</v>
      </c>
      <c r="B33" s="56">
        <f t="shared" si="2"/>
        <v>17</v>
      </c>
      <c r="C33" s="57" t="s">
        <v>30</v>
      </c>
      <c r="D33" s="58" t="s">
        <v>219</v>
      </c>
      <c r="E33" s="57" t="s">
        <v>122</v>
      </c>
      <c r="F33" s="59">
        <f>241576000+270516.1+13255288.76+75433.86+3696259.36</f>
        <v>258873498.08</v>
      </c>
      <c r="G33" s="60"/>
      <c r="H33" s="61">
        <v>10500000</v>
      </c>
      <c r="I33" s="62"/>
      <c r="J33" s="22"/>
      <c r="K33" s="37"/>
      <c r="L33" s="23"/>
      <c r="M33" s="23"/>
      <c r="N33" s="23"/>
      <c r="O33" s="23"/>
      <c r="P33" s="23"/>
      <c r="Q33" s="23"/>
      <c r="R33" s="23"/>
      <c r="S33" s="23"/>
      <c r="T33" s="23"/>
      <c r="U33" s="23"/>
      <c r="V33" s="24"/>
      <c r="W33" s="24"/>
      <c r="X33" s="24"/>
      <c r="Y33" s="24"/>
      <c r="Z33" s="24"/>
      <c r="AA33" s="24"/>
      <c r="AB33" s="24"/>
      <c r="AC33" s="24"/>
      <c r="AD33" s="24"/>
      <c r="AE33" s="24"/>
      <c r="AF33" s="24"/>
      <c r="AG33" s="24"/>
      <c r="AH33" s="24"/>
      <c r="AI33" s="24"/>
      <c r="AJ33" s="24"/>
      <c r="AK33" s="24"/>
      <c r="AL33" s="24"/>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row>
    <row r="34" spans="1:114" s="40" customFormat="1" ht="15.75" customHeight="1">
      <c r="A34" s="63">
        <f t="shared" si="2"/>
        <v>20</v>
      </c>
      <c r="B34" s="56">
        <f t="shared" si="2"/>
        <v>18</v>
      </c>
      <c r="C34" s="57" t="s">
        <v>31</v>
      </c>
      <c r="D34" s="58" t="s">
        <v>220</v>
      </c>
      <c r="E34" s="57" t="s">
        <v>3</v>
      </c>
      <c r="F34" s="59"/>
      <c r="G34" s="60"/>
      <c r="H34" s="61">
        <f>(188+840+806+958+740+230+600+230+650)*1000</f>
        <v>5242000</v>
      </c>
      <c r="I34" s="62"/>
      <c r="J34" s="22">
        <f t="shared" si="0"/>
        <v>0</v>
      </c>
      <c r="K34" s="37">
        <f t="shared" si="1"/>
        <v>5242000</v>
      </c>
      <c r="L34" s="23"/>
      <c r="M34" s="23"/>
      <c r="N34" s="23"/>
      <c r="O34" s="23"/>
      <c r="P34" s="23"/>
      <c r="Q34" s="23"/>
      <c r="R34" s="23"/>
      <c r="S34" s="23"/>
      <c r="T34" s="23"/>
      <c r="U34" s="23"/>
      <c r="V34" s="24"/>
      <c r="W34" s="24"/>
      <c r="X34" s="24"/>
      <c r="Y34" s="24"/>
      <c r="Z34" s="24"/>
      <c r="AA34" s="24"/>
      <c r="AB34" s="24"/>
      <c r="AC34" s="24"/>
      <c r="AD34" s="24"/>
      <c r="AE34" s="24"/>
      <c r="AF34" s="24"/>
      <c r="AG34" s="24"/>
      <c r="AH34" s="24"/>
      <c r="AI34" s="24"/>
      <c r="AJ34" s="24"/>
      <c r="AK34" s="24"/>
      <c r="AL34" s="24"/>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row>
    <row r="35" spans="1:114" s="26" customFormat="1" ht="15.75" customHeight="1">
      <c r="A35" s="105" t="s">
        <v>279</v>
      </c>
      <c r="B35" s="106"/>
      <c r="C35" s="106"/>
      <c r="D35" s="106"/>
      <c r="E35" s="18"/>
      <c r="F35" s="19">
        <f>F33</f>
        <v>258873498.08</v>
      </c>
      <c r="G35" s="19"/>
      <c r="H35" s="20">
        <f>SUM(H32:H34)</f>
        <v>77145361.34453782</v>
      </c>
      <c r="I35" s="21"/>
      <c r="J35" s="22"/>
      <c r="K35" s="23"/>
      <c r="L35" s="23"/>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row>
    <row r="36" spans="1:114" s="33" customFormat="1" ht="15.75" customHeight="1">
      <c r="A36" s="63">
        <f>A34+1</f>
        <v>21</v>
      </c>
      <c r="B36" s="56">
        <f>B34+1</f>
        <v>19</v>
      </c>
      <c r="C36" s="57" t="s">
        <v>53</v>
      </c>
      <c r="D36" s="58" t="s">
        <v>221</v>
      </c>
      <c r="E36" s="57" t="s">
        <v>0</v>
      </c>
      <c r="F36" s="59"/>
      <c r="G36" s="60"/>
      <c r="H36" s="61">
        <v>184800000</v>
      </c>
      <c r="I36" s="62"/>
      <c r="J36" s="22">
        <f t="shared" si="0"/>
        <v>0</v>
      </c>
      <c r="K36" s="37">
        <f t="shared" si="1"/>
        <v>184800000</v>
      </c>
      <c r="L36" s="23"/>
      <c r="M36" s="23"/>
      <c r="N36" s="23"/>
      <c r="O36" s="23"/>
      <c r="P36" s="23"/>
      <c r="Q36" s="23"/>
      <c r="R36" s="23"/>
      <c r="S36" s="23"/>
      <c r="T36" s="23"/>
      <c r="U36" s="23"/>
      <c r="V36" s="24"/>
      <c r="W36" s="24"/>
      <c r="X36" s="24"/>
      <c r="Y36" s="24"/>
      <c r="Z36" s="24"/>
      <c r="AA36" s="24"/>
      <c r="AB36" s="24"/>
      <c r="AC36" s="24"/>
      <c r="AD36" s="24"/>
      <c r="AE36" s="24"/>
      <c r="AF36" s="24"/>
      <c r="AG36" s="24"/>
      <c r="AH36" s="24"/>
      <c r="AI36" s="24"/>
      <c r="AJ36" s="24"/>
      <c r="AK36" s="24"/>
      <c r="AL36" s="24"/>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row>
    <row r="37" spans="1:114" s="26" customFormat="1" ht="15.75" customHeight="1">
      <c r="A37" s="105" t="s">
        <v>280</v>
      </c>
      <c r="B37" s="106"/>
      <c r="C37" s="106"/>
      <c r="D37" s="106"/>
      <c r="E37" s="18"/>
      <c r="F37" s="19"/>
      <c r="G37" s="19"/>
      <c r="H37" s="20">
        <f>H36</f>
        <v>184800000</v>
      </c>
      <c r="I37" s="21"/>
      <c r="J37" s="22"/>
      <c r="K37" s="23"/>
      <c r="L37" s="23"/>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row>
    <row r="38" spans="1:114" s="33" customFormat="1" ht="15.75" customHeight="1">
      <c r="A38" s="63">
        <f>A36+1</f>
        <v>22</v>
      </c>
      <c r="B38" s="56">
        <f>B36+1</f>
        <v>20</v>
      </c>
      <c r="C38" s="57" t="s">
        <v>45</v>
      </c>
      <c r="D38" s="58" t="s">
        <v>112</v>
      </c>
      <c r="E38" s="57" t="s">
        <v>132</v>
      </c>
      <c r="F38" s="59">
        <v>21100000</v>
      </c>
      <c r="G38" s="60"/>
      <c r="H38" s="61">
        <v>11250000</v>
      </c>
      <c r="I38" s="62"/>
      <c r="J38" s="22">
        <f t="shared" si="0"/>
        <v>21100000</v>
      </c>
      <c r="K38" s="37">
        <f t="shared" si="1"/>
        <v>11250000</v>
      </c>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row>
    <row r="39" spans="1:114" s="33" customFormat="1" ht="15.75" customHeight="1">
      <c r="A39" s="63">
        <f aca="true" t="shared" si="3" ref="A39:B42">A38+1</f>
        <v>23</v>
      </c>
      <c r="B39" s="56">
        <f t="shared" si="3"/>
        <v>21</v>
      </c>
      <c r="C39" s="57" t="s">
        <v>6</v>
      </c>
      <c r="D39" s="58" t="s">
        <v>4</v>
      </c>
      <c r="E39" s="57" t="s">
        <v>146</v>
      </c>
      <c r="F39" s="59"/>
      <c r="G39" s="60"/>
      <c r="H39" s="61">
        <f>218830000/1.19</f>
        <v>183890756.30252102</v>
      </c>
      <c r="I39" s="62"/>
      <c r="J39" s="22">
        <f t="shared" si="0"/>
        <v>0</v>
      </c>
      <c r="K39" s="37">
        <f t="shared" si="1"/>
        <v>183890756.30252102</v>
      </c>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row>
    <row r="40" spans="1:114" s="33" customFormat="1" ht="15.75" customHeight="1">
      <c r="A40" s="63">
        <f t="shared" si="3"/>
        <v>24</v>
      </c>
      <c r="B40" s="56">
        <f t="shared" si="3"/>
        <v>22</v>
      </c>
      <c r="C40" s="57" t="s">
        <v>7</v>
      </c>
      <c r="D40" s="58" t="s">
        <v>5</v>
      </c>
      <c r="E40" s="57" t="s">
        <v>146</v>
      </c>
      <c r="F40" s="59"/>
      <c r="G40" s="60"/>
      <c r="H40" s="61">
        <f>810073000/1.19</f>
        <v>680733613.4453782</v>
      </c>
      <c r="I40" s="62"/>
      <c r="J40" s="22">
        <f t="shared" si="0"/>
        <v>0</v>
      </c>
      <c r="K40" s="37">
        <f t="shared" si="1"/>
        <v>680733613.4453782</v>
      </c>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row>
    <row r="41" spans="1:114" s="33" customFormat="1" ht="24" customHeight="1">
      <c r="A41" s="63">
        <f t="shared" si="3"/>
        <v>25</v>
      </c>
      <c r="B41" s="56">
        <f t="shared" si="3"/>
        <v>23</v>
      </c>
      <c r="C41" s="57" t="s">
        <v>123</v>
      </c>
      <c r="D41" s="58" t="s">
        <v>222</v>
      </c>
      <c r="E41" s="57" t="s">
        <v>146</v>
      </c>
      <c r="F41" s="59"/>
      <c r="G41" s="60"/>
      <c r="H41" s="61">
        <f>228590000/1.19</f>
        <v>192092436.97478992</v>
      </c>
      <c r="I41" s="62"/>
      <c r="J41" s="22">
        <f t="shared" si="0"/>
        <v>0</v>
      </c>
      <c r="K41" s="37">
        <f t="shared" si="1"/>
        <v>192092436.97478992</v>
      </c>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row>
    <row r="42" spans="1:114" s="33" customFormat="1" ht="15.75" customHeight="1">
      <c r="A42" s="63">
        <f t="shared" si="3"/>
        <v>26</v>
      </c>
      <c r="B42" s="56">
        <f t="shared" si="3"/>
        <v>24</v>
      </c>
      <c r="C42" s="57" t="s">
        <v>124</v>
      </c>
      <c r="D42" s="58" t="s">
        <v>223</v>
      </c>
      <c r="E42" s="57" t="s">
        <v>79</v>
      </c>
      <c r="F42" s="59"/>
      <c r="G42" s="60"/>
      <c r="H42" s="61">
        <v>73000000</v>
      </c>
      <c r="I42" s="62"/>
      <c r="J42" s="22">
        <f t="shared" si="0"/>
        <v>0</v>
      </c>
      <c r="K42" s="37">
        <f t="shared" si="1"/>
        <v>73000000</v>
      </c>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row>
    <row r="43" spans="1:114" s="26" customFormat="1" ht="15.75" customHeight="1">
      <c r="A43" s="105" t="s">
        <v>281</v>
      </c>
      <c r="B43" s="106"/>
      <c r="C43" s="106"/>
      <c r="D43" s="106"/>
      <c r="E43" s="18"/>
      <c r="F43" s="19">
        <f>F38</f>
        <v>21100000</v>
      </c>
      <c r="G43" s="19"/>
      <c r="H43" s="20">
        <f>SUM(H38:H42)</f>
        <v>1140966806.7226892</v>
      </c>
      <c r="I43" s="21"/>
      <c r="J43" s="22"/>
      <c r="K43" s="23"/>
      <c r="L43" s="23"/>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row>
    <row r="44" spans="1:114" s="26" customFormat="1" ht="21" customHeight="1">
      <c r="A44" s="74">
        <f>A42+1</f>
        <v>27</v>
      </c>
      <c r="B44" s="75">
        <f>B42+1</f>
        <v>25</v>
      </c>
      <c r="C44" s="76" t="s">
        <v>58</v>
      </c>
      <c r="D44" s="77" t="s">
        <v>224</v>
      </c>
      <c r="E44" s="76" t="s">
        <v>132</v>
      </c>
      <c r="F44" s="78"/>
      <c r="G44" s="79"/>
      <c r="H44" s="54">
        <v>4950000</v>
      </c>
      <c r="I44" s="55" t="s">
        <v>175</v>
      </c>
      <c r="J44" s="48"/>
      <c r="K44" s="49"/>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row>
    <row r="45" spans="1:114" s="33" customFormat="1" ht="22.5" customHeight="1">
      <c r="A45" s="52">
        <f aca="true" t="shared" si="4" ref="A45:B61">A44+1</f>
        <v>28</v>
      </c>
      <c r="B45" s="53">
        <f t="shared" si="4"/>
        <v>26</v>
      </c>
      <c r="C45" s="57" t="s">
        <v>59</v>
      </c>
      <c r="D45" s="58" t="s">
        <v>225</v>
      </c>
      <c r="E45" s="57" t="s">
        <v>50</v>
      </c>
      <c r="F45" s="59"/>
      <c r="G45" s="60"/>
      <c r="H45" s="61">
        <v>617000000</v>
      </c>
      <c r="I45" s="62"/>
      <c r="J45" s="22">
        <f t="shared" si="0"/>
        <v>0</v>
      </c>
      <c r="K45" s="37">
        <f t="shared" si="1"/>
        <v>617000000</v>
      </c>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row>
    <row r="46" spans="1:114" s="33" customFormat="1" ht="15.75" customHeight="1">
      <c r="A46" s="52">
        <f t="shared" si="4"/>
        <v>29</v>
      </c>
      <c r="B46" s="53">
        <f t="shared" si="4"/>
        <v>27</v>
      </c>
      <c r="C46" s="57" t="s">
        <v>28</v>
      </c>
      <c r="D46" s="58" t="s">
        <v>179</v>
      </c>
      <c r="E46" s="57" t="s">
        <v>146</v>
      </c>
      <c r="F46" s="59"/>
      <c r="G46" s="60"/>
      <c r="H46" s="61">
        <v>95994894</v>
      </c>
      <c r="I46" s="62"/>
      <c r="J46" s="22">
        <f t="shared" si="0"/>
        <v>0</v>
      </c>
      <c r="K46" s="37">
        <f t="shared" si="1"/>
        <v>95994894</v>
      </c>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row>
    <row r="47" spans="1:114" s="33" customFormat="1" ht="15.75" customHeight="1">
      <c r="A47" s="52">
        <f t="shared" si="4"/>
        <v>30</v>
      </c>
      <c r="B47" s="53">
        <f t="shared" si="4"/>
        <v>28</v>
      </c>
      <c r="C47" s="57" t="s">
        <v>8</v>
      </c>
      <c r="D47" s="58" t="s">
        <v>9</v>
      </c>
      <c r="E47" s="57" t="s">
        <v>146</v>
      </c>
      <c r="F47" s="59"/>
      <c r="G47" s="60"/>
      <c r="H47" s="61">
        <f>31131833.31/1.19</f>
        <v>26161204.462184872</v>
      </c>
      <c r="I47" s="62"/>
      <c r="J47" s="22">
        <f t="shared" si="0"/>
        <v>0</v>
      </c>
      <c r="K47" s="37">
        <f t="shared" si="1"/>
        <v>26161204.462184872</v>
      </c>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row>
    <row r="48" spans="1:114" s="26" customFormat="1" ht="15.75" customHeight="1">
      <c r="A48" s="105" t="s">
        <v>282</v>
      </c>
      <c r="B48" s="106"/>
      <c r="C48" s="106"/>
      <c r="D48" s="106"/>
      <c r="E48" s="18"/>
      <c r="F48" s="19"/>
      <c r="G48" s="19"/>
      <c r="H48" s="20">
        <f>SUM(H44:H47)</f>
        <v>744106098.4621849</v>
      </c>
      <c r="I48" s="21"/>
      <c r="J48" s="22"/>
      <c r="K48" s="23"/>
      <c r="L48" s="23"/>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row>
    <row r="49" spans="1:114" s="33" customFormat="1" ht="15.75" customHeight="1">
      <c r="A49" s="52">
        <f>A47+1</f>
        <v>31</v>
      </c>
      <c r="B49" s="53">
        <f>B47+1</f>
        <v>29</v>
      </c>
      <c r="C49" s="57" t="s">
        <v>102</v>
      </c>
      <c r="D49" s="58" t="s">
        <v>104</v>
      </c>
      <c r="E49" s="57" t="s">
        <v>132</v>
      </c>
      <c r="F49" s="59">
        <v>22220000</v>
      </c>
      <c r="G49" s="60"/>
      <c r="H49" s="61"/>
      <c r="I49" s="62"/>
      <c r="J49" s="22">
        <f>+F50</f>
        <v>27000000</v>
      </c>
      <c r="K49" s="37">
        <f>+H50</f>
        <v>0</v>
      </c>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row>
    <row r="50" spans="1:114" s="33" customFormat="1" ht="15.75" customHeight="1">
      <c r="A50" s="52">
        <f t="shared" si="4"/>
        <v>32</v>
      </c>
      <c r="B50" s="53">
        <f t="shared" si="4"/>
        <v>30</v>
      </c>
      <c r="C50" s="57" t="s">
        <v>102</v>
      </c>
      <c r="D50" s="58" t="s">
        <v>103</v>
      </c>
      <c r="E50" s="57" t="s">
        <v>132</v>
      </c>
      <c r="F50" s="59">
        <v>27000000</v>
      </c>
      <c r="G50" s="60"/>
      <c r="H50" s="61"/>
      <c r="I50" s="62"/>
      <c r="J50" s="22"/>
      <c r="K50" s="37"/>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row>
    <row r="51" spans="1:114" s="33" customFormat="1" ht="15.75" customHeight="1">
      <c r="A51" s="52">
        <f t="shared" si="4"/>
        <v>33</v>
      </c>
      <c r="B51" s="53">
        <f t="shared" si="4"/>
        <v>31</v>
      </c>
      <c r="C51" s="57" t="s">
        <v>44</v>
      </c>
      <c r="D51" s="58" t="s">
        <v>25</v>
      </c>
      <c r="E51" s="57" t="s">
        <v>146</v>
      </c>
      <c r="F51" s="59"/>
      <c r="G51" s="60"/>
      <c r="H51" s="61">
        <f>282265114/1.19</f>
        <v>237197574.78991598</v>
      </c>
      <c r="I51" s="62"/>
      <c r="J51" s="22">
        <f t="shared" si="0"/>
        <v>0</v>
      </c>
      <c r="K51" s="37">
        <f t="shared" si="1"/>
        <v>237197574.78991598</v>
      </c>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row>
    <row r="52" spans="1:114" s="33" customFormat="1" ht="18.75" customHeight="1">
      <c r="A52" s="52">
        <f t="shared" si="4"/>
        <v>34</v>
      </c>
      <c r="B52" s="53">
        <f t="shared" si="4"/>
        <v>32</v>
      </c>
      <c r="C52" s="57" t="s">
        <v>60</v>
      </c>
      <c r="D52" s="58" t="s">
        <v>61</v>
      </c>
      <c r="E52" s="57" t="s">
        <v>132</v>
      </c>
      <c r="F52" s="59"/>
      <c r="G52" s="60"/>
      <c r="H52" s="61">
        <v>45000000</v>
      </c>
      <c r="I52" s="62"/>
      <c r="J52" s="22">
        <f t="shared" si="0"/>
        <v>0</v>
      </c>
      <c r="K52" s="37">
        <f t="shared" si="1"/>
        <v>45000000</v>
      </c>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row>
    <row r="53" spans="1:114" s="26" customFormat="1" ht="15.75" customHeight="1">
      <c r="A53" s="105" t="s">
        <v>283</v>
      </c>
      <c r="B53" s="106"/>
      <c r="C53" s="106"/>
      <c r="D53" s="106"/>
      <c r="E53" s="18"/>
      <c r="F53" s="19">
        <f>F49+F50</f>
        <v>49220000</v>
      </c>
      <c r="G53" s="19"/>
      <c r="H53" s="20">
        <f>H51+H52</f>
        <v>282197574.789916</v>
      </c>
      <c r="I53" s="21"/>
      <c r="J53" s="22"/>
      <c r="K53" s="23"/>
      <c r="L53" s="23"/>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row>
    <row r="54" spans="1:114" s="33" customFormat="1" ht="18.75" customHeight="1">
      <c r="A54" s="52">
        <f>A52+1</f>
        <v>35</v>
      </c>
      <c r="B54" s="53">
        <f>B52+1</f>
        <v>33</v>
      </c>
      <c r="C54" s="57" t="s">
        <v>26</v>
      </c>
      <c r="D54" s="58" t="s">
        <v>27</v>
      </c>
      <c r="E54" s="57" t="s">
        <v>132</v>
      </c>
      <c r="F54" s="59"/>
      <c r="G54" s="60"/>
      <c r="H54" s="61">
        <v>8700000</v>
      </c>
      <c r="I54" s="62"/>
      <c r="J54" s="22">
        <f t="shared" si="0"/>
        <v>0</v>
      </c>
      <c r="K54" s="37">
        <f t="shared" si="1"/>
        <v>8700000</v>
      </c>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row>
    <row r="55" spans="1:114" s="33" customFormat="1" ht="34.5" customHeight="1">
      <c r="A55" s="52">
        <f t="shared" si="4"/>
        <v>36</v>
      </c>
      <c r="B55" s="53">
        <f t="shared" si="4"/>
        <v>34</v>
      </c>
      <c r="C55" s="57" t="s">
        <v>81</v>
      </c>
      <c r="D55" s="80" t="s">
        <v>82</v>
      </c>
      <c r="E55" s="57" t="s">
        <v>122</v>
      </c>
      <c r="F55" s="59"/>
      <c r="G55" s="60"/>
      <c r="H55" s="61">
        <v>106140662</v>
      </c>
      <c r="I55" s="62"/>
      <c r="J55" s="22">
        <f t="shared" si="0"/>
        <v>0</v>
      </c>
      <c r="K55" s="37">
        <f t="shared" si="1"/>
        <v>106140662</v>
      </c>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row>
    <row r="56" spans="1:114" s="33" customFormat="1" ht="19.5" customHeight="1">
      <c r="A56" s="52">
        <f t="shared" si="4"/>
        <v>37</v>
      </c>
      <c r="B56" s="53">
        <f t="shared" si="4"/>
        <v>35</v>
      </c>
      <c r="C56" s="57" t="s">
        <v>113</v>
      </c>
      <c r="D56" s="58" t="s">
        <v>114</v>
      </c>
      <c r="E56" s="57" t="s">
        <v>121</v>
      </c>
      <c r="F56" s="59"/>
      <c r="G56" s="60"/>
      <c r="H56" s="61">
        <v>60000000</v>
      </c>
      <c r="I56" s="62"/>
      <c r="J56" s="22">
        <f t="shared" si="0"/>
        <v>0</v>
      </c>
      <c r="K56" s="37">
        <f t="shared" si="1"/>
        <v>60000000</v>
      </c>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row>
    <row r="57" spans="1:114" s="33" customFormat="1" ht="27.75" customHeight="1">
      <c r="A57" s="52">
        <f t="shared" si="4"/>
        <v>38</v>
      </c>
      <c r="B57" s="53">
        <f t="shared" si="4"/>
        <v>36</v>
      </c>
      <c r="C57" s="57" t="s">
        <v>115</v>
      </c>
      <c r="D57" s="80" t="s">
        <v>116</v>
      </c>
      <c r="E57" s="57" t="s">
        <v>122</v>
      </c>
      <c r="F57" s="59"/>
      <c r="G57" s="60"/>
      <c r="H57" s="61">
        <v>181011605</v>
      </c>
      <c r="I57" s="62"/>
      <c r="J57" s="22">
        <f t="shared" si="0"/>
        <v>0</v>
      </c>
      <c r="K57" s="37">
        <f t="shared" si="1"/>
        <v>181011605</v>
      </c>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row>
    <row r="58" spans="1:114" s="33" customFormat="1" ht="18" customHeight="1">
      <c r="A58" s="52">
        <f t="shared" si="4"/>
        <v>39</v>
      </c>
      <c r="B58" s="53">
        <f t="shared" si="4"/>
        <v>37</v>
      </c>
      <c r="C58" s="57" t="s">
        <v>71</v>
      </c>
      <c r="D58" s="58" t="s">
        <v>70</v>
      </c>
      <c r="E58" s="57" t="s">
        <v>122</v>
      </c>
      <c r="F58" s="59"/>
      <c r="G58" s="60"/>
      <c r="H58" s="61">
        <v>52233900</v>
      </c>
      <c r="I58" s="62"/>
      <c r="J58" s="22"/>
      <c r="K58" s="37"/>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row>
    <row r="59" spans="1:114" s="33" customFormat="1" ht="22.5" customHeight="1">
      <c r="A59" s="52">
        <f t="shared" si="4"/>
        <v>40</v>
      </c>
      <c r="B59" s="53">
        <f t="shared" si="4"/>
        <v>38</v>
      </c>
      <c r="C59" s="57" t="s">
        <v>83</v>
      </c>
      <c r="D59" s="58" t="s">
        <v>84</v>
      </c>
      <c r="E59" s="57" t="s">
        <v>79</v>
      </c>
      <c r="F59" s="59"/>
      <c r="G59" s="60"/>
      <c r="H59" s="61">
        <v>76900000</v>
      </c>
      <c r="I59" s="62"/>
      <c r="J59" s="22"/>
      <c r="K59" s="37">
        <f>+H59</f>
        <v>76900000</v>
      </c>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row>
    <row r="60" spans="1:114" s="33" customFormat="1" ht="27" customHeight="1">
      <c r="A60" s="52">
        <f t="shared" si="4"/>
        <v>41</v>
      </c>
      <c r="B60" s="53">
        <f t="shared" si="4"/>
        <v>39</v>
      </c>
      <c r="C60" s="57" t="s">
        <v>66</v>
      </c>
      <c r="D60" s="80" t="s">
        <v>67</v>
      </c>
      <c r="E60" s="57" t="s">
        <v>146</v>
      </c>
      <c r="F60" s="59"/>
      <c r="G60" s="60"/>
      <c r="H60" s="61">
        <f>34248729.51/1.19</f>
        <v>28780444.966386553</v>
      </c>
      <c r="I60" s="62"/>
      <c r="J60" s="22"/>
      <c r="K60" s="37"/>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row>
    <row r="61" spans="1:114" s="33" customFormat="1" ht="15.75" customHeight="1">
      <c r="A61" s="52">
        <f t="shared" si="4"/>
        <v>42</v>
      </c>
      <c r="B61" s="53">
        <f t="shared" si="4"/>
        <v>40</v>
      </c>
      <c r="C61" s="57" t="s">
        <v>10</v>
      </c>
      <c r="D61" s="58" t="s">
        <v>11</v>
      </c>
      <c r="E61" s="57" t="s">
        <v>146</v>
      </c>
      <c r="F61" s="59"/>
      <c r="G61" s="60"/>
      <c r="H61" s="61">
        <f>370000000/1.19</f>
        <v>310924369.7478992</v>
      </c>
      <c r="I61" s="62"/>
      <c r="J61" s="22"/>
      <c r="K61" s="37"/>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row>
    <row r="62" spans="1:114" s="26" customFormat="1" ht="15.75" customHeight="1">
      <c r="A62" s="105" t="s">
        <v>284</v>
      </c>
      <c r="B62" s="106"/>
      <c r="C62" s="106"/>
      <c r="D62" s="106"/>
      <c r="E62" s="18"/>
      <c r="F62" s="19"/>
      <c r="G62" s="19"/>
      <c r="H62" s="20">
        <f>SUM(H54:H61)</f>
        <v>824690981.7142857</v>
      </c>
      <c r="I62" s="21"/>
      <c r="J62" s="22"/>
      <c r="K62" s="23"/>
      <c r="L62" s="23"/>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row>
    <row r="63" spans="1:114" s="33" customFormat="1" ht="15.75" customHeight="1">
      <c r="A63" s="52">
        <f>A61+1</f>
        <v>43</v>
      </c>
      <c r="B63" s="53">
        <f>B61+1</f>
        <v>41</v>
      </c>
      <c r="C63" s="57" t="s">
        <v>13</v>
      </c>
      <c r="D63" s="58" t="s">
        <v>12</v>
      </c>
      <c r="E63" s="57" t="s">
        <v>146</v>
      </c>
      <c r="F63" s="59"/>
      <c r="G63" s="60"/>
      <c r="H63" s="61">
        <f>17385541.43/1.19</f>
        <v>14609698.68067227</v>
      </c>
      <c r="I63" s="62"/>
      <c r="J63" s="22"/>
      <c r="K63" s="37"/>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row>
    <row r="64" spans="1:114" s="33" customFormat="1" ht="15.75" customHeight="1">
      <c r="A64" s="52">
        <f aca="true" t="shared" si="5" ref="A64:B80">A63+1</f>
        <v>44</v>
      </c>
      <c r="B64" s="53">
        <f t="shared" si="5"/>
        <v>42</v>
      </c>
      <c r="C64" s="57" t="s">
        <v>14</v>
      </c>
      <c r="D64" s="58" t="s">
        <v>259</v>
      </c>
      <c r="E64" s="57" t="s">
        <v>79</v>
      </c>
      <c r="F64" s="59"/>
      <c r="G64" s="60"/>
      <c r="H64" s="61">
        <f>873127822/3.2465</f>
        <v>268944346.83505315</v>
      </c>
      <c r="I64" s="62"/>
      <c r="J64" s="22"/>
      <c r="K64" s="37"/>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row>
    <row r="65" spans="1:114" s="33" customFormat="1" ht="15.75" customHeight="1">
      <c r="A65" s="52">
        <f t="shared" si="5"/>
        <v>45</v>
      </c>
      <c r="B65" s="53">
        <f t="shared" si="5"/>
        <v>43</v>
      </c>
      <c r="C65" s="57" t="s">
        <v>48</v>
      </c>
      <c r="D65" s="58" t="s">
        <v>49</v>
      </c>
      <c r="E65" s="57" t="s">
        <v>50</v>
      </c>
      <c r="F65" s="59"/>
      <c r="G65" s="60"/>
      <c r="H65" s="61">
        <f>131000000+100800000</f>
        <v>231800000</v>
      </c>
      <c r="I65" s="62"/>
      <c r="J65" s="22"/>
      <c r="K65" s="37"/>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row>
    <row r="66" spans="1:114" s="33" customFormat="1" ht="15.75" customHeight="1">
      <c r="A66" s="52">
        <f t="shared" si="5"/>
        <v>46</v>
      </c>
      <c r="B66" s="53">
        <f t="shared" si="5"/>
        <v>44</v>
      </c>
      <c r="C66" s="57" t="s">
        <v>32</v>
      </c>
      <c r="D66" s="58" t="s">
        <v>33</v>
      </c>
      <c r="E66" s="57" t="s">
        <v>132</v>
      </c>
      <c r="F66" s="59">
        <v>4700000</v>
      </c>
      <c r="G66" s="60"/>
      <c r="H66" s="61">
        <v>50000000</v>
      </c>
      <c r="I66" s="62"/>
      <c r="J66" s="22"/>
      <c r="K66" s="37"/>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row>
    <row r="67" spans="1:114" s="33" customFormat="1" ht="15.75" customHeight="1">
      <c r="A67" s="52">
        <f t="shared" si="5"/>
        <v>47</v>
      </c>
      <c r="B67" s="53">
        <f t="shared" si="5"/>
        <v>45</v>
      </c>
      <c r="C67" s="57" t="s">
        <v>117</v>
      </c>
      <c r="D67" s="58" t="s">
        <v>118</v>
      </c>
      <c r="E67" s="57" t="s">
        <v>146</v>
      </c>
      <c r="F67" s="59"/>
      <c r="G67" s="60"/>
      <c r="H67" s="61">
        <f>365120000/1.19</f>
        <v>306823529.41176474</v>
      </c>
      <c r="I67" s="62"/>
      <c r="J67" s="22"/>
      <c r="K67" s="37"/>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row>
    <row r="68" spans="1:114" s="33" customFormat="1" ht="21" customHeight="1">
      <c r="A68" s="52">
        <f t="shared" si="5"/>
        <v>48</v>
      </c>
      <c r="B68" s="53">
        <f t="shared" si="5"/>
        <v>46</v>
      </c>
      <c r="C68" s="57" t="s">
        <v>126</v>
      </c>
      <c r="D68" s="58" t="s">
        <v>226</v>
      </c>
      <c r="E68" s="57" t="s">
        <v>132</v>
      </c>
      <c r="F68" s="59">
        <v>3900001</v>
      </c>
      <c r="G68" s="60"/>
      <c r="H68" s="61">
        <v>74900000</v>
      </c>
      <c r="I68" s="62"/>
      <c r="J68" s="22"/>
      <c r="K68" s="37"/>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row>
    <row r="69" spans="1:114" s="33" customFormat="1" ht="15.75" customHeight="1">
      <c r="A69" s="52">
        <f t="shared" si="5"/>
        <v>49</v>
      </c>
      <c r="B69" s="53">
        <f t="shared" si="5"/>
        <v>47</v>
      </c>
      <c r="C69" s="57" t="s">
        <v>39</v>
      </c>
      <c r="D69" s="58" t="s">
        <v>40</v>
      </c>
      <c r="E69" s="57" t="s">
        <v>122</v>
      </c>
      <c r="F69" s="59"/>
      <c r="G69" s="60"/>
      <c r="H69" s="61">
        <v>300000000</v>
      </c>
      <c r="I69" s="62"/>
      <c r="J69" s="22"/>
      <c r="K69" s="37"/>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row>
    <row r="70" spans="1:114" s="33" customFormat="1" ht="15.75" customHeight="1">
      <c r="A70" s="52">
        <f t="shared" si="5"/>
        <v>50</v>
      </c>
      <c r="B70" s="53">
        <f t="shared" si="5"/>
        <v>48</v>
      </c>
      <c r="C70" s="57" t="s">
        <v>41</v>
      </c>
      <c r="D70" s="58" t="s">
        <v>140</v>
      </c>
      <c r="E70" s="57" t="s">
        <v>122</v>
      </c>
      <c r="F70" s="59"/>
      <c r="G70" s="60"/>
      <c r="H70" s="61">
        <v>167500000</v>
      </c>
      <c r="I70" s="62"/>
      <c r="J70" s="22"/>
      <c r="K70" s="37"/>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c r="DF70" s="25"/>
      <c r="DG70" s="25"/>
      <c r="DH70" s="25"/>
      <c r="DI70" s="25"/>
      <c r="DJ70" s="25"/>
    </row>
    <row r="71" spans="1:114" s="26" customFormat="1" ht="15.75" customHeight="1">
      <c r="A71" s="105" t="s">
        <v>285</v>
      </c>
      <c r="B71" s="106"/>
      <c r="C71" s="106"/>
      <c r="D71" s="106"/>
      <c r="E71" s="18"/>
      <c r="F71" s="19">
        <f>F66+F68</f>
        <v>8600001</v>
      </c>
      <c r="G71" s="19"/>
      <c r="H71" s="20">
        <f>SUM(H63:H70)</f>
        <v>1414577574.9274902</v>
      </c>
      <c r="I71" s="21"/>
      <c r="J71" s="22"/>
      <c r="K71" s="23"/>
      <c r="L71" s="23"/>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J71" s="25"/>
    </row>
    <row r="72" spans="1:114" s="33" customFormat="1" ht="15.75" customHeight="1">
      <c r="A72" s="52">
        <f>A70+1</f>
        <v>51</v>
      </c>
      <c r="B72" s="53">
        <f>B70+1</f>
        <v>49</v>
      </c>
      <c r="C72" s="57" t="s">
        <v>138</v>
      </c>
      <c r="D72" s="58" t="s">
        <v>139</v>
      </c>
      <c r="E72" s="57" t="s">
        <v>122</v>
      </c>
      <c r="F72" s="59"/>
      <c r="G72" s="60"/>
      <c r="H72" s="61">
        <v>291027958</v>
      </c>
      <c r="I72" s="62"/>
      <c r="J72" s="22"/>
      <c r="K72" s="37"/>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J72" s="25"/>
    </row>
    <row r="73" spans="1:114" s="33" customFormat="1" ht="19.5" customHeight="1">
      <c r="A73" s="52">
        <f t="shared" si="5"/>
        <v>52</v>
      </c>
      <c r="B73" s="53">
        <f t="shared" si="5"/>
        <v>50</v>
      </c>
      <c r="C73" s="57" t="s">
        <v>127</v>
      </c>
      <c r="D73" s="58" t="s">
        <v>128</v>
      </c>
      <c r="E73" s="57" t="s">
        <v>122</v>
      </c>
      <c r="F73" s="59"/>
      <c r="G73" s="60"/>
      <c r="H73" s="61">
        <v>43568414.54</v>
      </c>
      <c r="I73" s="62"/>
      <c r="J73" s="22"/>
      <c r="K73" s="37"/>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row>
    <row r="74" spans="1:114" s="33" customFormat="1" ht="15" customHeight="1">
      <c r="A74" s="52">
        <f t="shared" si="5"/>
        <v>53</v>
      </c>
      <c r="B74" s="53">
        <f t="shared" si="5"/>
        <v>51</v>
      </c>
      <c r="C74" s="57" t="s">
        <v>127</v>
      </c>
      <c r="D74" s="58" t="s">
        <v>129</v>
      </c>
      <c r="E74" s="57" t="s">
        <v>122</v>
      </c>
      <c r="F74" s="59"/>
      <c r="G74" s="60"/>
      <c r="H74" s="61">
        <v>14580022</v>
      </c>
      <c r="I74" s="62"/>
      <c r="J74" s="22"/>
      <c r="K74" s="37"/>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25"/>
      <c r="DE74" s="25"/>
      <c r="DF74" s="25"/>
      <c r="DG74" s="25"/>
      <c r="DH74" s="25"/>
      <c r="DI74" s="25"/>
      <c r="DJ74" s="25"/>
    </row>
    <row r="75" spans="1:114" s="33" customFormat="1" ht="19.5" customHeight="1">
      <c r="A75" s="52">
        <f t="shared" si="5"/>
        <v>54</v>
      </c>
      <c r="B75" s="53">
        <f t="shared" si="5"/>
        <v>52</v>
      </c>
      <c r="C75" s="57" t="s">
        <v>131</v>
      </c>
      <c r="D75" s="58" t="s">
        <v>130</v>
      </c>
      <c r="E75" s="57" t="s">
        <v>146</v>
      </c>
      <c r="F75" s="59"/>
      <c r="G75" s="60"/>
      <c r="H75" s="61">
        <f>126000000/1.19</f>
        <v>105882352.94117647</v>
      </c>
      <c r="I75" s="62"/>
      <c r="J75" s="22"/>
      <c r="K75" s="37"/>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J75" s="25"/>
    </row>
    <row r="76" spans="1:114" s="33" customFormat="1" ht="20.25" customHeight="1">
      <c r="A76" s="52">
        <f t="shared" si="5"/>
        <v>55</v>
      </c>
      <c r="B76" s="53">
        <f t="shared" si="5"/>
        <v>53</v>
      </c>
      <c r="C76" s="57" t="s">
        <v>110</v>
      </c>
      <c r="D76" s="58" t="s">
        <v>111</v>
      </c>
      <c r="E76" s="57" t="s">
        <v>146</v>
      </c>
      <c r="F76" s="59"/>
      <c r="G76" s="60"/>
      <c r="H76" s="61">
        <f>256977248/1.19</f>
        <v>215947267.22689077</v>
      </c>
      <c r="I76" s="62"/>
      <c r="J76" s="22"/>
      <c r="K76" s="37"/>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5"/>
      <c r="DG76" s="25"/>
      <c r="DH76" s="25"/>
      <c r="DI76" s="25"/>
      <c r="DJ76" s="25"/>
    </row>
    <row r="77" spans="1:114" s="33" customFormat="1" ht="18" customHeight="1">
      <c r="A77" s="52">
        <f t="shared" si="5"/>
        <v>56</v>
      </c>
      <c r="B77" s="53">
        <f t="shared" si="5"/>
        <v>54</v>
      </c>
      <c r="C77" s="57" t="s">
        <v>68</v>
      </c>
      <c r="D77" s="58" t="s">
        <v>69</v>
      </c>
      <c r="E77" s="57" t="s">
        <v>0</v>
      </c>
      <c r="F77" s="59"/>
      <c r="G77" s="60"/>
      <c r="H77" s="61">
        <f>424945639/1.18</f>
        <v>360123422.88135594</v>
      </c>
      <c r="I77" s="62"/>
      <c r="J77" s="22"/>
      <c r="K77" s="37"/>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c r="DF77" s="25"/>
      <c r="DG77" s="25"/>
      <c r="DH77" s="25"/>
      <c r="DI77" s="25"/>
      <c r="DJ77" s="25"/>
    </row>
    <row r="78" spans="1:114" s="33" customFormat="1" ht="20.25" customHeight="1">
      <c r="A78" s="52">
        <f t="shared" si="5"/>
        <v>57</v>
      </c>
      <c r="B78" s="53">
        <f t="shared" si="5"/>
        <v>55</v>
      </c>
      <c r="C78" s="57" t="s">
        <v>1</v>
      </c>
      <c r="D78" s="58" t="s">
        <v>171</v>
      </c>
      <c r="E78" s="57" t="s">
        <v>122</v>
      </c>
      <c r="F78" s="59"/>
      <c r="G78" s="60"/>
      <c r="H78" s="61">
        <v>62545294</v>
      </c>
      <c r="I78" s="62"/>
      <c r="J78" s="22"/>
      <c r="K78" s="37"/>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25"/>
      <c r="DE78" s="25"/>
      <c r="DF78" s="25"/>
      <c r="DG78" s="25"/>
      <c r="DH78" s="25"/>
      <c r="DI78" s="25"/>
      <c r="DJ78" s="25"/>
    </row>
    <row r="79" spans="1:114" s="33" customFormat="1" ht="23.25" customHeight="1">
      <c r="A79" s="52">
        <f t="shared" si="5"/>
        <v>58</v>
      </c>
      <c r="B79" s="53">
        <f t="shared" si="5"/>
        <v>56</v>
      </c>
      <c r="C79" s="57" t="s">
        <v>1</v>
      </c>
      <c r="D79" s="80" t="s">
        <v>258</v>
      </c>
      <c r="E79" s="57" t="s">
        <v>79</v>
      </c>
      <c r="F79" s="59"/>
      <c r="G79" s="60"/>
      <c r="H79" s="61">
        <v>145000000</v>
      </c>
      <c r="I79" s="62"/>
      <c r="J79" s="22"/>
      <c r="K79" s="37"/>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c r="DD79" s="25"/>
      <c r="DE79" s="25"/>
      <c r="DF79" s="25"/>
      <c r="DG79" s="25"/>
      <c r="DH79" s="25"/>
      <c r="DI79" s="25"/>
      <c r="DJ79" s="25"/>
    </row>
    <row r="80" spans="1:114" s="33" customFormat="1" ht="19.5" customHeight="1">
      <c r="A80" s="52">
        <f t="shared" si="5"/>
        <v>59</v>
      </c>
      <c r="B80" s="53">
        <f t="shared" si="5"/>
        <v>57</v>
      </c>
      <c r="C80" s="57" t="s">
        <v>133</v>
      </c>
      <c r="D80" s="58" t="s">
        <v>134</v>
      </c>
      <c r="E80" s="57" t="s">
        <v>122</v>
      </c>
      <c r="F80" s="59"/>
      <c r="G80" s="60"/>
      <c r="H80" s="61">
        <v>300000000</v>
      </c>
      <c r="I80" s="62"/>
      <c r="J80" s="22"/>
      <c r="K80" s="37"/>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c r="CC80" s="25"/>
      <c r="CD80" s="25"/>
      <c r="CE80" s="25"/>
      <c r="CF80" s="25"/>
      <c r="CG80" s="25"/>
      <c r="CH80" s="25"/>
      <c r="CI80" s="25"/>
      <c r="CJ80" s="25"/>
      <c r="CK80" s="25"/>
      <c r="CL80" s="25"/>
      <c r="CM80" s="25"/>
      <c r="CN80" s="25"/>
      <c r="CO80" s="25"/>
      <c r="CP80" s="25"/>
      <c r="CQ80" s="25"/>
      <c r="CR80" s="25"/>
      <c r="CS80" s="25"/>
      <c r="CT80" s="25"/>
      <c r="CU80" s="25"/>
      <c r="CV80" s="25"/>
      <c r="CW80" s="25"/>
      <c r="CX80" s="25"/>
      <c r="CY80" s="25"/>
      <c r="CZ80" s="25"/>
      <c r="DA80" s="25"/>
      <c r="DB80" s="25"/>
      <c r="DC80" s="25"/>
      <c r="DD80" s="25"/>
      <c r="DE80" s="25"/>
      <c r="DF80" s="25"/>
      <c r="DG80" s="25"/>
      <c r="DH80" s="25"/>
      <c r="DI80" s="25"/>
      <c r="DJ80" s="25"/>
    </row>
    <row r="81" spans="1:114" s="26" customFormat="1" ht="15.75" customHeight="1">
      <c r="A81" s="105" t="s">
        <v>286</v>
      </c>
      <c r="B81" s="106"/>
      <c r="C81" s="106"/>
      <c r="D81" s="106"/>
      <c r="E81" s="18"/>
      <c r="F81" s="19"/>
      <c r="G81" s="19"/>
      <c r="H81" s="20">
        <f>SUM(H72:H80)</f>
        <v>1538674731.5894232</v>
      </c>
      <c r="I81" s="21"/>
      <c r="J81" s="22"/>
      <c r="K81" s="23"/>
      <c r="L81" s="23"/>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c r="CH81" s="25"/>
      <c r="CI81" s="25"/>
      <c r="CJ81" s="25"/>
      <c r="CK81" s="25"/>
      <c r="CL81" s="25"/>
      <c r="CM81" s="25"/>
      <c r="CN81" s="25"/>
      <c r="CO81" s="25"/>
      <c r="CP81" s="25"/>
      <c r="CQ81" s="25"/>
      <c r="CR81" s="25"/>
      <c r="CS81" s="25"/>
      <c r="CT81" s="25"/>
      <c r="CU81" s="25"/>
      <c r="CV81" s="25"/>
      <c r="CW81" s="25"/>
      <c r="CX81" s="25"/>
      <c r="CY81" s="25"/>
      <c r="CZ81" s="25"/>
      <c r="DA81" s="25"/>
      <c r="DB81" s="25"/>
      <c r="DC81" s="25"/>
      <c r="DD81" s="25"/>
      <c r="DE81" s="25"/>
      <c r="DF81" s="25"/>
      <c r="DG81" s="25"/>
      <c r="DH81" s="25"/>
      <c r="DI81" s="25"/>
      <c r="DJ81" s="25"/>
    </row>
    <row r="82" spans="1:114" s="38" customFormat="1" ht="22.5" customHeight="1">
      <c r="A82" s="52">
        <f>A80+1</f>
        <v>60</v>
      </c>
      <c r="B82" s="53">
        <f>B80+1</f>
        <v>58</v>
      </c>
      <c r="C82" s="57" t="s">
        <v>149</v>
      </c>
      <c r="D82" s="58" t="s">
        <v>150</v>
      </c>
      <c r="E82" s="57" t="s">
        <v>132</v>
      </c>
      <c r="F82" s="59">
        <v>28389918</v>
      </c>
      <c r="G82" s="60" t="s">
        <v>177</v>
      </c>
      <c r="H82" s="61">
        <v>150000000</v>
      </c>
      <c r="I82" s="62"/>
      <c r="J82" s="22"/>
      <c r="K82" s="37"/>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c r="CZ82" s="25"/>
      <c r="DA82" s="25"/>
      <c r="DB82" s="25"/>
      <c r="DC82" s="25"/>
      <c r="DD82" s="25"/>
      <c r="DE82" s="25"/>
      <c r="DF82" s="25"/>
      <c r="DG82" s="25"/>
      <c r="DH82" s="25"/>
      <c r="DI82" s="25"/>
      <c r="DJ82" s="25"/>
    </row>
    <row r="83" spans="1:114" s="33" customFormat="1" ht="35.25" customHeight="1">
      <c r="A83" s="52">
        <f aca="true" t="shared" si="6" ref="A83:B99">A82+1</f>
        <v>61</v>
      </c>
      <c r="B83" s="53">
        <f t="shared" si="6"/>
        <v>59</v>
      </c>
      <c r="C83" s="57" t="s">
        <v>152</v>
      </c>
      <c r="D83" s="80" t="s">
        <v>180</v>
      </c>
      <c r="E83" s="57" t="s">
        <v>146</v>
      </c>
      <c r="F83" s="59"/>
      <c r="G83" s="60"/>
      <c r="H83" s="61">
        <v>239460517.3</v>
      </c>
      <c r="I83" s="62"/>
      <c r="J83" s="32"/>
      <c r="K83" s="23"/>
      <c r="L83" s="23"/>
      <c r="M83" s="23"/>
      <c r="N83" s="23"/>
      <c r="O83" s="23"/>
      <c r="P83" s="23"/>
      <c r="Q83" s="23"/>
      <c r="R83" s="23"/>
      <c r="S83" s="23"/>
      <c r="T83" s="23"/>
      <c r="U83" s="23"/>
      <c r="V83" s="24"/>
      <c r="W83" s="24"/>
      <c r="X83" s="24"/>
      <c r="Y83" s="24"/>
      <c r="Z83" s="24"/>
      <c r="AA83" s="24"/>
      <c r="AB83" s="24"/>
      <c r="AC83" s="24"/>
      <c r="AD83" s="24"/>
      <c r="AE83" s="24"/>
      <c r="AF83" s="24"/>
      <c r="AG83" s="24"/>
      <c r="AH83" s="24"/>
      <c r="AI83" s="24"/>
      <c r="AJ83" s="24"/>
      <c r="AK83" s="24"/>
      <c r="AL83" s="24"/>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c r="CC83" s="25"/>
      <c r="CD83" s="25"/>
      <c r="CE83" s="25"/>
      <c r="CF83" s="25"/>
      <c r="CG83" s="25"/>
      <c r="CH83" s="25"/>
      <c r="CI83" s="25"/>
      <c r="CJ83" s="25"/>
      <c r="CK83" s="25"/>
      <c r="CL83" s="25"/>
      <c r="CM83" s="25"/>
      <c r="CN83" s="25"/>
      <c r="CO83" s="25"/>
      <c r="CP83" s="25"/>
      <c r="CQ83" s="25"/>
      <c r="CR83" s="25"/>
      <c r="CS83" s="25"/>
      <c r="CT83" s="25"/>
      <c r="CU83" s="25"/>
      <c r="CV83" s="25"/>
      <c r="CW83" s="25"/>
      <c r="CX83" s="25"/>
      <c r="CY83" s="25"/>
      <c r="CZ83" s="25"/>
      <c r="DA83" s="25"/>
      <c r="DB83" s="25"/>
      <c r="DC83" s="25"/>
      <c r="DD83" s="25"/>
      <c r="DE83" s="25"/>
      <c r="DF83" s="25"/>
      <c r="DG83" s="25"/>
      <c r="DH83" s="25"/>
      <c r="DI83" s="25"/>
      <c r="DJ83" s="25"/>
    </row>
    <row r="84" spans="1:114" s="33" customFormat="1" ht="19.5" customHeight="1">
      <c r="A84" s="52">
        <f t="shared" si="6"/>
        <v>62</v>
      </c>
      <c r="B84" s="53">
        <f t="shared" si="6"/>
        <v>60</v>
      </c>
      <c r="C84" s="57" t="s">
        <v>157</v>
      </c>
      <c r="D84" s="58" t="s">
        <v>158</v>
      </c>
      <c r="E84" s="57" t="s">
        <v>122</v>
      </c>
      <c r="F84" s="59"/>
      <c r="G84" s="60"/>
      <c r="H84" s="61">
        <v>2555000000</v>
      </c>
      <c r="I84" s="62" t="s">
        <v>159</v>
      </c>
      <c r="J84" s="32"/>
      <c r="K84" s="23"/>
      <c r="L84" s="23"/>
      <c r="M84" s="23"/>
      <c r="N84" s="23"/>
      <c r="O84" s="23"/>
      <c r="P84" s="23"/>
      <c r="Q84" s="23"/>
      <c r="R84" s="23"/>
      <c r="S84" s="23"/>
      <c r="T84" s="23"/>
      <c r="U84" s="23"/>
      <c r="V84" s="24"/>
      <c r="W84" s="24"/>
      <c r="X84" s="24"/>
      <c r="Y84" s="24"/>
      <c r="Z84" s="24"/>
      <c r="AA84" s="24"/>
      <c r="AB84" s="24"/>
      <c r="AC84" s="24"/>
      <c r="AD84" s="24"/>
      <c r="AE84" s="24"/>
      <c r="AF84" s="24"/>
      <c r="AG84" s="24"/>
      <c r="AH84" s="24"/>
      <c r="AI84" s="24"/>
      <c r="AJ84" s="24"/>
      <c r="AK84" s="24"/>
      <c r="AL84" s="24"/>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row>
    <row r="85" spans="1:114" s="33" customFormat="1" ht="22.5" customHeight="1">
      <c r="A85" s="52">
        <f t="shared" si="6"/>
        <v>63</v>
      </c>
      <c r="B85" s="53">
        <f t="shared" si="6"/>
        <v>61</v>
      </c>
      <c r="C85" s="57" t="s">
        <v>161</v>
      </c>
      <c r="D85" s="58" t="s">
        <v>162</v>
      </c>
      <c r="E85" s="57" t="s">
        <v>122</v>
      </c>
      <c r="F85" s="59"/>
      <c r="G85" s="60"/>
      <c r="H85" s="61">
        <v>101406434</v>
      </c>
      <c r="I85" s="62"/>
      <c r="J85" s="32"/>
      <c r="K85" s="23"/>
      <c r="L85" s="23"/>
      <c r="M85" s="23"/>
      <c r="N85" s="23"/>
      <c r="O85" s="23"/>
      <c r="P85" s="23"/>
      <c r="Q85" s="23"/>
      <c r="R85" s="23"/>
      <c r="S85" s="23"/>
      <c r="T85" s="23"/>
      <c r="U85" s="23"/>
      <c r="V85" s="24"/>
      <c r="W85" s="24"/>
      <c r="X85" s="24"/>
      <c r="Y85" s="24"/>
      <c r="Z85" s="24"/>
      <c r="AA85" s="24"/>
      <c r="AB85" s="24"/>
      <c r="AC85" s="24"/>
      <c r="AD85" s="24"/>
      <c r="AE85" s="24"/>
      <c r="AF85" s="24"/>
      <c r="AG85" s="24"/>
      <c r="AH85" s="24"/>
      <c r="AI85" s="24"/>
      <c r="AJ85" s="24"/>
      <c r="AK85" s="24"/>
      <c r="AL85" s="24"/>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25"/>
      <c r="CW85" s="25"/>
      <c r="CX85" s="25"/>
      <c r="CY85" s="25"/>
      <c r="CZ85" s="25"/>
      <c r="DA85" s="25"/>
      <c r="DB85" s="25"/>
      <c r="DC85" s="25"/>
      <c r="DD85" s="25"/>
      <c r="DE85" s="25"/>
      <c r="DF85" s="25"/>
      <c r="DG85" s="25"/>
      <c r="DH85" s="25"/>
      <c r="DI85" s="25"/>
      <c r="DJ85" s="25"/>
    </row>
    <row r="86" spans="1:115" s="51" customFormat="1" ht="23.25" customHeight="1">
      <c r="A86" s="52">
        <f t="shared" si="6"/>
        <v>64</v>
      </c>
      <c r="B86" s="53">
        <f t="shared" si="6"/>
        <v>62</v>
      </c>
      <c r="C86" s="57" t="s">
        <v>163</v>
      </c>
      <c r="D86" s="58" t="s">
        <v>164</v>
      </c>
      <c r="E86" s="57" t="s">
        <v>50</v>
      </c>
      <c r="F86" s="59"/>
      <c r="G86" s="60"/>
      <c r="H86" s="61">
        <v>748713939</v>
      </c>
      <c r="I86" s="62" t="s">
        <v>165</v>
      </c>
      <c r="J86" s="32"/>
      <c r="K86" s="23"/>
      <c r="L86" s="23"/>
      <c r="M86" s="23"/>
      <c r="N86" s="23"/>
      <c r="O86" s="23"/>
      <c r="P86" s="23"/>
      <c r="Q86" s="23"/>
      <c r="R86" s="23"/>
      <c r="S86" s="23"/>
      <c r="T86" s="23"/>
      <c r="U86" s="23"/>
      <c r="V86" s="24"/>
      <c r="W86" s="24"/>
      <c r="X86" s="24"/>
      <c r="Y86" s="24"/>
      <c r="Z86" s="24"/>
      <c r="AA86" s="24"/>
      <c r="AB86" s="24"/>
      <c r="AC86" s="24"/>
      <c r="AD86" s="24"/>
      <c r="AE86" s="24"/>
      <c r="AF86" s="24"/>
      <c r="AG86" s="24"/>
      <c r="AH86" s="24"/>
      <c r="AI86" s="24"/>
      <c r="AJ86" s="24"/>
      <c r="AK86" s="24"/>
      <c r="AL86" s="24"/>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25"/>
      <c r="DE86" s="25"/>
      <c r="DF86" s="25"/>
      <c r="DG86" s="25"/>
      <c r="DH86" s="25"/>
      <c r="DI86" s="25"/>
      <c r="DJ86" s="25"/>
      <c r="DK86" s="50"/>
    </row>
    <row r="87" spans="1:115" s="51" customFormat="1" ht="24.75" customHeight="1">
      <c r="A87" s="52">
        <f t="shared" si="6"/>
        <v>65</v>
      </c>
      <c r="B87" s="53">
        <f t="shared" si="6"/>
        <v>63</v>
      </c>
      <c r="C87" s="57" t="s">
        <v>167</v>
      </c>
      <c r="D87" s="58" t="s">
        <v>168</v>
      </c>
      <c r="E87" s="57" t="s">
        <v>122</v>
      </c>
      <c r="F87" s="59"/>
      <c r="G87" s="60"/>
      <c r="H87" s="61">
        <v>113000000</v>
      </c>
      <c r="I87" s="62"/>
      <c r="J87" s="32"/>
      <c r="K87" s="23"/>
      <c r="L87" s="23"/>
      <c r="M87" s="23"/>
      <c r="N87" s="23"/>
      <c r="O87" s="23"/>
      <c r="P87" s="23"/>
      <c r="Q87" s="23"/>
      <c r="R87" s="23"/>
      <c r="S87" s="23"/>
      <c r="T87" s="23"/>
      <c r="U87" s="23"/>
      <c r="V87" s="24"/>
      <c r="W87" s="24"/>
      <c r="X87" s="24"/>
      <c r="Y87" s="24"/>
      <c r="Z87" s="24"/>
      <c r="AA87" s="24"/>
      <c r="AB87" s="24"/>
      <c r="AC87" s="24"/>
      <c r="AD87" s="24"/>
      <c r="AE87" s="24"/>
      <c r="AF87" s="24"/>
      <c r="AG87" s="24"/>
      <c r="AH87" s="24"/>
      <c r="AI87" s="24"/>
      <c r="AJ87" s="24"/>
      <c r="AK87" s="24"/>
      <c r="AL87" s="24"/>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c r="CW87" s="25"/>
      <c r="CX87" s="25"/>
      <c r="CY87" s="25"/>
      <c r="CZ87" s="25"/>
      <c r="DA87" s="25"/>
      <c r="DB87" s="25"/>
      <c r="DC87" s="25"/>
      <c r="DD87" s="25"/>
      <c r="DE87" s="25"/>
      <c r="DF87" s="25"/>
      <c r="DG87" s="25"/>
      <c r="DH87" s="25"/>
      <c r="DI87" s="25"/>
      <c r="DJ87" s="25"/>
      <c r="DK87" s="50"/>
    </row>
    <row r="88" spans="1:115" s="51" customFormat="1" ht="21.75" customHeight="1">
      <c r="A88" s="52">
        <f t="shared" si="6"/>
        <v>66</v>
      </c>
      <c r="B88" s="53">
        <f t="shared" si="6"/>
        <v>64</v>
      </c>
      <c r="C88" s="57" t="s">
        <v>169</v>
      </c>
      <c r="D88" s="58" t="s">
        <v>170</v>
      </c>
      <c r="E88" s="57" t="s">
        <v>50</v>
      </c>
      <c r="F88" s="59"/>
      <c r="G88" s="60"/>
      <c r="H88" s="61">
        <v>37058304</v>
      </c>
      <c r="I88" s="62"/>
      <c r="J88" s="32"/>
      <c r="K88" s="23"/>
      <c r="L88" s="23"/>
      <c r="M88" s="23"/>
      <c r="N88" s="23"/>
      <c r="O88" s="23"/>
      <c r="P88" s="23"/>
      <c r="Q88" s="23"/>
      <c r="R88" s="23"/>
      <c r="S88" s="23"/>
      <c r="T88" s="23"/>
      <c r="U88" s="23"/>
      <c r="V88" s="24"/>
      <c r="W88" s="24"/>
      <c r="X88" s="24"/>
      <c r="Y88" s="24"/>
      <c r="Z88" s="24"/>
      <c r="AA88" s="24"/>
      <c r="AB88" s="24"/>
      <c r="AC88" s="24"/>
      <c r="AD88" s="24"/>
      <c r="AE88" s="24"/>
      <c r="AF88" s="24"/>
      <c r="AG88" s="24"/>
      <c r="AH88" s="24"/>
      <c r="AI88" s="24"/>
      <c r="AJ88" s="24"/>
      <c r="AK88" s="24"/>
      <c r="AL88" s="24"/>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50"/>
    </row>
    <row r="89" spans="1:114" s="26" customFormat="1" ht="30" customHeight="1">
      <c r="A89" s="52">
        <f t="shared" si="6"/>
        <v>67</v>
      </c>
      <c r="B89" s="53">
        <f t="shared" si="6"/>
        <v>65</v>
      </c>
      <c r="C89" s="66" t="s">
        <v>173</v>
      </c>
      <c r="D89" s="72" t="s">
        <v>174</v>
      </c>
      <c r="E89" s="66" t="s">
        <v>132</v>
      </c>
      <c r="F89" s="68">
        <v>220800</v>
      </c>
      <c r="G89" s="69"/>
      <c r="H89" s="70">
        <v>1000000</v>
      </c>
      <c r="I89" s="71"/>
      <c r="J89" s="22"/>
      <c r="K89" s="37"/>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row>
    <row r="90" spans="1:114" s="26" customFormat="1" ht="15.75" customHeight="1">
      <c r="A90" s="105" t="s">
        <v>287</v>
      </c>
      <c r="B90" s="106"/>
      <c r="C90" s="106"/>
      <c r="D90" s="106"/>
      <c r="E90" s="18"/>
      <c r="F90" s="19">
        <f>F82+F89</f>
        <v>28610718</v>
      </c>
      <c r="G90" s="19"/>
      <c r="H90" s="20">
        <f>SUM(H82:H89)</f>
        <v>3945639194.3</v>
      </c>
      <c r="I90" s="21"/>
      <c r="J90" s="22"/>
      <c r="K90" s="23"/>
      <c r="L90" s="23"/>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row>
    <row r="91" spans="1:114" s="26" customFormat="1" ht="24" customHeight="1">
      <c r="A91" s="52">
        <f>A89+1</f>
        <v>68</v>
      </c>
      <c r="B91" s="53">
        <f>B89+1</f>
        <v>66</v>
      </c>
      <c r="C91" s="66" t="s">
        <v>181</v>
      </c>
      <c r="D91" s="72" t="s">
        <v>182</v>
      </c>
      <c r="E91" s="66" t="s">
        <v>122</v>
      </c>
      <c r="F91" s="68"/>
      <c r="G91" s="69"/>
      <c r="H91" s="70">
        <v>55000000</v>
      </c>
      <c r="I91" s="71"/>
      <c r="J91" s="22"/>
      <c r="K91" s="37"/>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row>
    <row r="92" spans="1:114" s="26" customFormat="1" ht="41.25" customHeight="1">
      <c r="A92" s="52">
        <f t="shared" si="6"/>
        <v>69</v>
      </c>
      <c r="B92" s="53">
        <f t="shared" si="6"/>
        <v>67</v>
      </c>
      <c r="C92" s="66" t="s">
        <v>183</v>
      </c>
      <c r="D92" s="72" t="s">
        <v>184</v>
      </c>
      <c r="E92" s="66" t="s">
        <v>132</v>
      </c>
      <c r="F92" s="68">
        <v>48408949</v>
      </c>
      <c r="G92" s="69" t="s">
        <v>185</v>
      </c>
      <c r="H92" s="70">
        <v>343400000</v>
      </c>
      <c r="I92" s="71"/>
      <c r="J92" s="22"/>
      <c r="K92" s="37"/>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row>
    <row r="93" spans="1:114" s="26" customFormat="1" ht="36.75" customHeight="1">
      <c r="A93" s="52">
        <f t="shared" si="6"/>
        <v>70</v>
      </c>
      <c r="B93" s="53">
        <f t="shared" si="6"/>
        <v>68</v>
      </c>
      <c r="C93" s="66" t="s">
        <v>186</v>
      </c>
      <c r="D93" s="72" t="s">
        <v>187</v>
      </c>
      <c r="E93" s="66" t="s">
        <v>146</v>
      </c>
      <c r="F93" s="68"/>
      <c r="G93" s="69"/>
      <c r="H93" s="70">
        <f>195890000/1.18</f>
        <v>166008474.5762712</v>
      </c>
      <c r="I93" s="71"/>
      <c r="J93" s="22"/>
      <c r="K93" s="37"/>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row>
    <row r="94" spans="1:114" s="26" customFormat="1" ht="32.25" customHeight="1">
      <c r="A94" s="52">
        <f t="shared" si="6"/>
        <v>71</v>
      </c>
      <c r="B94" s="53">
        <f t="shared" si="6"/>
        <v>69</v>
      </c>
      <c r="C94" s="66" t="s">
        <v>188</v>
      </c>
      <c r="D94" s="72" t="s">
        <v>189</v>
      </c>
      <c r="E94" s="66" t="s">
        <v>122</v>
      </c>
      <c r="F94" s="68"/>
      <c r="G94" s="69"/>
      <c r="H94" s="70">
        <v>106887489</v>
      </c>
      <c r="I94" s="71"/>
      <c r="J94" s="22"/>
      <c r="K94" s="37"/>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row>
    <row r="95" spans="1:114" s="26" customFormat="1" ht="21.75" customHeight="1">
      <c r="A95" s="52">
        <f t="shared" si="6"/>
        <v>72</v>
      </c>
      <c r="B95" s="53">
        <f t="shared" si="6"/>
        <v>70</v>
      </c>
      <c r="C95" s="66" t="s">
        <v>190</v>
      </c>
      <c r="D95" s="72" t="s">
        <v>191</v>
      </c>
      <c r="E95" s="66" t="s">
        <v>3</v>
      </c>
      <c r="F95" s="68"/>
      <c r="G95" s="69"/>
      <c r="H95" s="70">
        <f>428657/2.69</f>
        <v>159352.04460966543</v>
      </c>
      <c r="I95" s="71" t="s">
        <v>303</v>
      </c>
      <c r="J95" s="22"/>
      <c r="K95" s="37"/>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row>
    <row r="96" spans="1:114" s="26" customFormat="1" ht="15.75" customHeight="1">
      <c r="A96" s="105" t="s">
        <v>288</v>
      </c>
      <c r="B96" s="106"/>
      <c r="C96" s="106"/>
      <c r="D96" s="106"/>
      <c r="E96" s="18"/>
      <c r="F96" s="19">
        <f>F92</f>
        <v>48408949</v>
      </c>
      <c r="G96" s="19"/>
      <c r="H96" s="20">
        <f>SUM(H91:H95)</f>
        <v>671455315.6208808</v>
      </c>
      <c r="I96" s="21"/>
      <c r="J96" s="22"/>
      <c r="K96" s="23"/>
      <c r="L96" s="23"/>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row>
    <row r="97" spans="1:114" s="26" customFormat="1" ht="30.75" customHeight="1">
      <c r="A97" s="52">
        <f>A95+1</f>
        <v>73</v>
      </c>
      <c r="B97" s="53">
        <f>B95+1</f>
        <v>71</v>
      </c>
      <c r="C97" s="66" t="s">
        <v>192</v>
      </c>
      <c r="D97" s="72" t="s">
        <v>193</v>
      </c>
      <c r="E97" s="66" t="s">
        <v>122</v>
      </c>
      <c r="F97" s="68"/>
      <c r="G97" s="69"/>
      <c r="H97" s="70">
        <v>114262782</v>
      </c>
      <c r="I97" s="71"/>
      <c r="J97" s="22"/>
      <c r="K97" s="37"/>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row>
    <row r="98" spans="1:114" s="26" customFormat="1" ht="22.5" customHeight="1">
      <c r="A98" s="64">
        <f aca="true" t="shared" si="7" ref="A98:A119">A97+1</f>
        <v>74</v>
      </c>
      <c r="B98" s="53">
        <f t="shared" si="6"/>
        <v>72</v>
      </c>
      <c r="C98" s="66" t="s">
        <v>194</v>
      </c>
      <c r="D98" s="72" t="s">
        <v>195</v>
      </c>
      <c r="E98" s="66" t="s">
        <v>122</v>
      </c>
      <c r="F98" s="68"/>
      <c r="G98" s="69"/>
      <c r="H98" s="73">
        <v>600000000</v>
      </c>
      <c r="I98" s="71"/>
      <c r="J98" s="22"/>
      <c r="K98" s="37"/>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row>
    <row r="99" spans="1:114" s="26" customFormat="1" ht="24" customHeight="1">
      <c r="A99" s="52">
        <f t="shared" si="7"/>
        <v>75</v>
      </c>
      <c r="B99" s="53">
        <f t="shared" si="6"/>
        <v>73</v>
      </c>
      <c r="C99" s="66" t="s">
        <v>196</v>
      </c>
      <c r="D99" s="72" t="s">
        <v>197</v>
      </c>
      <c r="E99" s="66" t="s">
        <v>122</v>
      </c>
      <c r="F99" s="68"/>
      <c r="G99" s="69"/>
      <c r="H99" s="73">
        <v>100000000</v>
      </c>
      <c r="I99" s="71"/>
      <c r="J99" s="22"/>
      <c r="K99" s="37"/>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row>
    <row r="100" spans="1:114" s="26" customFormat="1" ht="30.75" customHeight="1">
      <c r="A100" s="52">
        <f t="shared" si="7"/>
        <v>76</v>
      </c>
      <c r="B100" s="53">
        <f aca="true" t="shared" si="8" ref="B100:B115">B99+1</f>
        <v>74</v>
      </c>
      <c r="C100" s="66" t="s">
        <v>198</v>
      </c>
      <c r="D100" s="72" t="s">
        <v>199</v>
      </c>
      <c r="E100" s="66" t="s">
        <v>122</v>
      </c>
      <c r="F100" s="68"/>
      <c r="G100" s="69"/>
      <c r="H100" s="70">
        <v>278365620</v>
      </c>
      <c r="I100" s="71"/>
      <c r="J100" s="22"/>
      <c r="K100" s="37"/>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J100" s="25"/>
    </row>
    <row r="101" spans="1:114" s="26" customFormat="1" ht="37.5" customHeight="1">
      <c r="A101" s="52">
        <f t="shared" si="7"/>
        <v>77</v>
      </c>
      <c r="B101" s="53">
        <f t="shared" si="8"/>
        <v>75</v>
      </c>
      <c r="C101" s="66" t="s">
        <v>200</v>
      </c>
      <c r="D101" s="72" t="s">
        <v>201</v>
      </c>
      <c r="E101" s="66" t="s">
        <v>132</v>
      </c>
      <c r="F101" s="68">
        <f>(152229000+105511176)/1.18</f>
        <v>218423877.9661017</v>
      </c>
      <c r="G101" s="69"/>
      <c r="H101" s="73">
        <f>800000000+F101</f>
        <v>1018423877.9661016</v>
      </c>
      <c r="I101" s="71"/>
      <c r="J101" s="22"/>
      <c r="K101" s="37"/>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row>
    <row r="102" spans="1:114" s="26" customFormat="1" ht="22.5" customHeight="1">
      <c r="A102" s="52">
        <f t="shared" si="7"/>
        <v>78</v>
      </c>
      <c r="B102" s="53">
        <f t="shared" si="8"/>
        <v>76</v>
      </c>
      <c r="C102" s="66" t="s">
        <v>202</v>
      </c>
      <c r="D102" s="72" t="s">
        <v>203</v>
      </c>
      <c r="E102" s="66" t="s">
        <v>121</v>
      </c>
      <c r="F102" s="68"/>
      <c r="G102" s="69"/>
      <c r="H102" s="70">
        <v>205000000</v>
      </c>
      <c r="I102" s="71"/>
      <c r="J102" s="22"/>
      <c r="K102" s="37"/>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row>
    <row r="103" spans="1:114" s="26" customFormat="1" ht="27" customHeight="1">
      <c r="A103" s="52">
        <f t="shared" si="7"/>
        <v>79</v>
      </c>
      <c r="B103" s="91">
        <f t="shared" si="8"/>
        <v>77</v>
      </c>
      <c r="C103" s="92" t="s">
        <v>231</v>
      </c>
      <c r="D103" s="93" t="s">
        <v>232</v>
      </c>
      <c r="E103" s="92" t="s">
        <v>79</v>
      </c>
      <c r="F103" s="68"/>
      <c r="G103" s="69"/>
      <c r="H103" s="94">
        <v>100000000</v>
      </c>
      <c r="I103" s="71"/>
      <c r="J103" s="22"/>
      <c r="K103" s="37"/>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row>
    <row r="104" spans="1:114" s="26" customFormat="1" ht="24" customHeight="1">
      <c r="A104" s="52">
        <f t="shared" si="7"/>
        <v>80</v>
      </c>
      <c r="B104" s="91">
        <f t="shared" si="8"/>
        <v>78</v>
      </c>
      <c r="C104" s="92" t="s">
        <v>233</v>
      </c>
      <c r="D104" s="93" t="s">
        <v>234</v>
      </c>
      <c r="E104" s="92" t="s">
        <v>235</v>
      </c>
      <c r="F104" s="68"/>
      <c r="G104" s="69"/>
      <c r="H104" s="94">
        <v>573684398</v>
      </c>
      <c r="I104" s="71"/>
      <c r="J104" s="22"/>
      <c r="K104" s="37"/>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row>
    <row r="105" spans="1:114" s="26" customFormat="1" ht="30.75" customHeight="1">
      <c r="A105" s="52">
        <f t="shared" si="7"/>
        <v>81</v>
      </c>
      <c r="B105" s="91">
        <f t="shared" si="8"/>
        <v>79</v>
      </c>
      <c r="C105" s="92" t="s">
        <v>236</v>
      </c>
      <c r="D105" s="93" t="s">
        <v>237</v>
      </c>
      <c r="E105" s="92" t="s">
        <v>146</v>
      </c>
      <c r="F105" s="68"/>
      <c r="G105" s="69"/>
      <c r="H105" s="94">
        <v>552000000</v>
      </c>
      <c r="I105" s="71"/>
      <c r="J105" s="22"/>
      <c r="K105" s="37"/>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row>
    <row r="106" spans="1:114" s="26" customFormat="1" ht="30.75" customHeight="1">
      <c r="A106" s="52">
        <f t="shared" si="7"/>
        <v>82</v>
      </c>
      <c r="B106" s="91">
        <f t="shared" si="8"/>
        <v>80</v>
      </c>
      <c r="C106" s="92" t="s">
        <v>238</v>
      </c>
      <c r="D106" s="93" t="s">
        <v>239</v>
      </c>
      <c r="E106" s="92" t="s">
        <v>132</v>
      </c>
      <c r="F106" s="68"/>
      <c r="G106" s="69"/>
      <c r="H106" s="94">
        <v>275880000</v>
      </c>
      <c r="I106" s="71"/>
      <c r="J106" s="22"/>
      <c r="K106" s="37"/>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row>
    <row r="107" spans="1:114" s="26" customFormat="1" ht="15.75" customHeight="1">
      <c r="A107" s="105" t="s">
        <v>289</v>
      </c>
      <c r="B107" s="106"/>
      <c r="C107" s="106"/>
      <c r="D107" s="106"/>
      <c r="E107" s="18"/>
      <c r="F107" s="19">
        <f>F101</f>
        <v>218423877.9661017</v>
      </c>
      <c r="G107" s="19"/>
      <c r="H107" s="20">
        <f>SUM(H97:H106)</f>
        <v>3817616677.9661016</v>
      </c>
      <c r="I107" s="21"/>
      <c r="J107" s="22"/>
      <c r="K107" s="23"/>
      <c r="L107" s="23"/>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row>
    <row r="108" spans="1:114" s="26" customFormat="1" ht="30.75" customHeight="1">
      <c r="A108" s="52">
        <f>A106+1</f>
        <v>83</v>
      </c>
      <c r="B108" s="91">
        <f>B106+1</f>
        <v>81</v>
      </c>
      <c r="C108" s="92" t="s">
        <v>241</v>
      </c>
      <c r="D108" s="93" t="s">
        <v>240</v>
      </c>
      <c r="E108" s="92" t="s">
        <v>146</v>
      </c>
      <c r="F108" s="68"/>
      <c r="G108" s="69"/>
      <c r="H108" s="94">
        <v>5075150000</v>
      </c>
      <c r="I108" s="71" t="s">
        <v>242</v>
      </c>
      <c r="J108" s="22"/>
      <c r="K108" s="37"/>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row>
    <row r="109" spans="1:114" s="26" customFormat="1" ht="26.25" customHeight="1">
      <c r="A109" s="52">
        <f t="shared" si="7"/>
        <v>84</v>
      </c>
      <c r="B109" s="91">
        <f t="shared" si="8"/>
        <v>82</v>
      </c>
      <c r="C109" s="66" t="s">
        <v>243</v>
      </c>
      <c r="D109" s="72" t="s">
        <v>244</v>
      </c>
      <c r="E109" s="66" t="s">
        <v>146</v>
      </c>
      <c r="F109" s="68"/>
      <c r="G109" s="69"/>
      <c r="H109" s="73">
        <v>537000000</v>
      </c>
      <c r="I109" s="71" t="s">
        <v>247</v>
      </c>
      <c r="J109" s="22"/>
      <c r="K109" s="37"/>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row>
    <row r="110" spans="1:114" s="26" customFormat="1" ht="24" customHeight="1">
      <c r="A110" s="52">
        <f t="shared" si="7"/>
        <v>85</v>
      </c>
      <c r="B110" s="91">
        <f t="shared" si="8"/>
        <v>83</v>
      </c>
      <c r="C110" s="92" t="s">
        <v>245</v>
      </c>
      <c r="D110" s="93" t="s">
        <v>246</v>
      </c>
      <c r="E110" s="92" t="s">
        <v>146</v>
      </c>
      <c r="F110" s="68"/>
      <c r="G110" s="69"/>
      <c r="H110" s="94">
        <v>128800000</v>
      </c>
      <c r="I110" s="71" t="s">
        <v>248</v>
      </c>
      <c r="J110" s="22"/>
      <c r="K110" s="37"/>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row>
    <row r="111" spans="1:114" s="26" customFormat="1" ht="22.5" customHeight="1">
      <c r="A111" s="52">
        <f t="shared" si="7"/>
        <v>86</v>
      </c>
      <c r="B111" s="91">
        <f t="shared" si="8"/>
        <v>84</v>
      </c>
      <c r="C111" s="92" t="s">
        <v>255</v>
      </c>
      <c r="D111" s="93" t="s">
        <v>252</v>
      </c>
      <c r="E111" s="92" t="s">
        <v>122</v>
      </c>
      <c r="F111" s="68"/>
      <c r="G111" s="69"/>
      <c r="H111" s="94">
        <v>35355278</v>
      </c>
      <c r="I111" s="71"/>
      <c r="J111" s="22"/>
      <c r="K111" s="37"/>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row>
    <row r="112" spans="1:114" s="26" customFormat="1" ht="26.25" customHeight="1">
      <c r="A112" s="52">
        <f t="shared" si="7"/>
        <v>87</v>
      </c>
      <c r="B112" s="91">
        <f t="shared" si="8"/>
        <v>85</v>
      </c>
      <c r="C112" s="92" t="s">
        <v>254</v>
      </c>
      <c r="D112" s="93" t="s">
        <v>253</v>
      </c>
      <c r="E112" s="92" t="s">
        <v>3</v>
      </c>
      <c r="F112" s="68"/>
      <c r="G112" s="69"/>
      <c r="H112" s="94">
        <v>17893191</v>
      </c>
      <c r="I112" s="71"/>
      <c r="J112" s="22"/>
      <c r="K112" s="37"/>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row>
    <row r="113" spans="1:114" s="26" customFormat="1" ht="26.25" customHeight="1">
      <c r="A113" s="52">
        <f t="shared" si="7"/>
        <v>88</v>
      </c>
      <c r="B113" s="91">
        <f t="shared" si="8"/>
        <v>86</v>
      </c>
      <c r="C113" s="92" t="s">
        <v>256</v>
      </c>
      <c r="D113" s="93" t="s">
        <v>257</v>
      </c>
      <c r="E113" s="92" t="s">
        <v>122</v>
      </c>
      <c r="F113" s="68"/>
      <c r="G113" s="69"/>
      <c r="H113" s="94">
        <v>499175573</v>
      </c>
      <c r="I113" s="71"/>
      <c r="J113" s="22"/>
      <c r="K113" s="37"/>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row>
    <row r="114" spans="1:114" s="26" customFormat="1" ht="26.25" customHeight="1">
      <c r="A114" s="52">
        <f t="shared" si="7"/>
        <v>89</v>
      </c>
      <c r="B114" s="91">
        <f t="shared" si="8"/>
        <v>87</v>
      </c>
      <c r="C114" s="92" t="s">
        <v>293</v>
      </c>
      <c r="D114" s="93" t="s">
        <v>294</v>
      </c>
      <c r="E114" s="92" t="s">
        <v>121</v>
      </c>
      <c r="F114" s="68"/>
      <c r="G114" s="69"/>
      <c r="H114" s="94">
        <v>3643000000</v>
      </c>
      <c r="I114" s="71"/>
      <c r="J114" s="22"/>
      <c r="K114" s="37"/>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row>
    <row r="115" spans="1:114" s="26" customFormat="1" ht="30.75" customHeight="1">
      <c r="A115" s="52">
        <f t="shared" si="7"/>
        <v>90</v>
      </c>
      <c r="B115" s="91">
        <f t="shared" si="8"/>
        <v>88</v>
      </c>
      <c r="C115" s="66" t="s">
        <v>264</v>
      </c>
      <c r="D115" s="72" t="s">
        <v>265</v>
      </c>
      <c r="E115" s="66" t="s">
        <v>122</v>
      </c>
      <c r="F115" s="68"/>
      <c r="G115" s="69"/>
      <c r="H115" s="73">
        <f>25983607+12800155</f>
        <v>38783762</v>
      </c>
      <c r="I115" s="71"/>
      <c r="J115" s="95"/>
      <c r="K115" s="37"/>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row>
    <row r="116" spans="1:114" s="26" customFormat="1" ht="15.75" customHeight="1">
      <c r="A116" s="105" t="s">
        <v>290</v>
      </c>
      <c r="B116" s="106"/>
      <c r="C116" s="106"/>
      <c r="D116" s="106"/>
      <c r="E116" s="18"/>
      <c r="F116" s="19"/>
      <c r="G116" s="19"/>
      <c r="H116" s="20">
        <f>SUM(H108:H115)</f>
        <v>9975157804</v>
      </c>
      <c r="I116" s="21"/>
      <c r="J116" s="22"/>
      <c r="K116" s="23"/>
      <c r="L116" s="23"/>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row>
    <row r="117" spans="1:114" s="26" customFormat="1" ht="27" customHeight="1">
      <c r="A117" s="52">
        <f>A115+1</f>
        <v>91</v>
      </c>
      <c r="B117" s="53">
        <f>B115+1</f>
        <v>89</v>
      </c>
      <c r="C117" s="66" t="s">
        <v>266</v>
      </c>
      <c r="D117" s="72" t="s">
        <v>267</v>
      </c>
      <c r="E117" s="66" t="s">
        <v>122</v>
      </c>
      <c r="F117" s="68"/>
      <c r="G117" s="69"/>
      <c r="H117" s="73">
        <v>36812000</v>
      </c>
      <c r="I117" s="71"/>
      <c r="J117" s="95"/>
      <c r="K117" s="37"/>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c r="CF117" s="25"/>
      <c r="CG117" s="25"/>
      <c r="CH117" s="25"/>
      <c r="CI117" s="25"/>
      <c r="CJ117" s="25"/>
      <c r="CK117" s="25"/>
      <c r="CL117" s="25"/>
      <c r="CM117" s="25"/>
      <c r="CN117" s="25"/>
      <c r="CO117" s="25"/>
      <c r="CP117" s="25"/>
      <c r="CQ117" s="25"/>
      <c r="CR117" s="25"/>
      <c r="CS117" s="25"/>
      <c r="CT117" s="25"/>
      <c r="CU117" s="25"/>
      <c r="CV117" s="25"/>
      <c r="CW117" s="25"/>
      <c r="CX117" s="25"/>
      <c r="CY117" s="25"/>
      <c r="CZ117" s="25"/>
      <c r="DA117" s="25"/>
      <c r="DB117" s="25"/>
      <c r="DC117" s="25"/>
      <c r="DD117" s="25"/>
      <c r="DE117" s="25"/>
      <c r="DF117" s="25"/>
      <c r="DG117" s="25"/>
      <c r="DH117" s="25"/>
      <c r="DI117" s="25"/>
      <c r="DJ117" s="25"/>
    </row>
    <row r="118" spans="1:114" s="26" customFormat="1" ht="31.5" customHeight="1">
      <c r="A118" s="52">
        <f t="shared" si="7"/>
        <v>92</v>
      </c>
      <c r="B118" s="53">
        <f>B117+1</f>
        <v>90</v>
      </c>
      <c r="C118" s="66" t="s">
        <v>268</v>
      </c>
      <c r="D118" s="72" t="s">
        <v>269</v>
      </c>
      <c r="E118" s="66" t="s">
        <v>122</v>
      </c>
      <c r="F118" s="68"/>
      <c r="G118" s="69"/>
      <c r="H118" s="94">
        <v>42703410</v>
      </c>
      <c r="I118" s="71"/>
      <c r="J118" s="95"/>
      <c r="K118" s="37"/>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c r="CS118" s="25"/>
      <c r="CT118" s="25"/>
      <c r="CU118" s="25"/>
      <c r="CV118" s="25"/>
      <c r="CW118" s="25"/>
      <c r="CX118" s="25"/>
      <c r="CY118" s="25"/>
      <c r="CZ118" s="25"/>
      <c r="DA118" s="25"/>
      <c r="DB118" s="25"/>
      <c r="DC118" s="25"/>
      <c r="DD118" s="25"/>
      <c r="DE118" s="25"/>
      <c r="DF118" s="25"/>
      <c r="DG118" s="25"/>
      <c r="DH118" s="25"/>
      <c r="DI118" s="25"/>
      <c r="DJ118" s="25"/>
    </row>
    <row r="119" spans="1:114" s="26" customFormat="1" ht="31.5" customHeight="1">
      <c r="A119" s="52">
        <f t="shared" si="7"/>
        <v>93</v>
      </c>
      <c r="B119" s="53">
        <f>B118+1</f>
        <v>91</v>
      </c>
      <c r="C119" s="66" t="s">
        <v>270</v>
      </c>
      <c r="D119" s="72" t="s">
        <v>271</v>
      </c>
      <c r="E119" s="66" t="s">
        <v>122</v>
      </c>
      <c r="F119" s="68"/>
      <c r="G119" s="69"/>
      <c r="H119" s="94">
        <v>20219000</v>
      </c>
      <c r="I119" s="71"/>
      <c r="J119" s="95"/>
      <c r="K119" s="37"/>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row>
    <row r="120" spans="1:114" s="26" customFormat="1" ht="15.75" customHeight="1">
      <c r="A120" s="105" t="s">
        <v>291</v>
      </c>
      <c r="B120" s="106"/>
      <c r="C120" s="106"/>
      <c r="D120" s="106"/>
      <c r="E120" s="18"/>
      <c r="F120" s="19"/>
      <c r="G120" s="19"/>
      <c r="H120" s="20">
        <f>H117+H118+H119</f>
        <v>99734410</v>
      </c>
      <c r="I120" s="21"/>
      <c r="J120" s="22"/>
      <c r="K120" s="23"/>
      <c r="L120" s="23"/>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row>
    <row r="121" spans="1:114" s="26" customFormat="1" ht="39.75" customHeight="1">
      <c r="A121" s="52">
        <f>A119+1</f>
        <v>94</v>
      </c>
      <c r="B121" s="53">
        <f>B119+1</f>
        <v>92</v>
      </c>
      <c r="C121" s="66" t="s">
        <v>272</v>
      </c>
      <c r="D121" s="72" t="s">
        <v>273</v>
      </c>
      <c r="E121" s="66" t="s">
        <v>132</v>
      </c>
      <c r="F121" s="68">
        <v>911213824</v>
      </c>
      <c r="G121" s="69"/>
      <c r="H121" s="94">
        <v>1680000000</v>
      </c>
      <c r="I121" s="71"/>
      <c r="J121" s="95"/>
      <c r="K121" s="37"/>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row>
    <row r="122" spans="1:114" s="26" customFormat="1" ht="15.75" customHeight="1">
      <c r="A122" s="105" t="s">
        <v>292</v>
      </c>
      <c r="B122" s="106"/>
      <c r="C122" s="106"/>
      <c r="D122" s="106"/>
      <c r="E122" s="18"/>
      <c r="F122" s="19">
        <f>F121</f>
        <v>911213824</v>
      </c>
      <c r="G122" s="19"/>
      <c r="H122" s="20">
        <f>H121</f>
        <v>1680000000</v>
      </c>
      <c r="I122" s="21"/>
      <c r="J122" s="22"/>
      <c r="K122" s="23"/>
      <c r="L122" s="23"/>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row>
    <row r="123" spans="1:114" s="26" customFormat="1" ht="15.75" customHeight="1">
      <c r="A123" s="52">
        <f>A121+1</f>
        <v>95</v>
      </c>
      <c r="B123" s="53">
        <f>B121+1</f>
        <v>93</v>
      </c>
      <c r="C123" s="66" t="s">
        <v>297</v>
      </c>
      <c r="D123" s="72" t="s">
        <v>298</v>
      </c>
      <c r="E123" s="66" t="s">
        <v>122</v>
      </c>
      <c r="F123" s="68"/>
      <c r="G123" s="69"/>
      <c r="H123" s="94">
        <v>8830000</v>
      </c>
      <c r="I123" s="71"/>
      <c r="J123" s="22"/>
      <c r="K123" s="23"/>
      <c r="L123" s="23"/>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row>
    <row r="124" spans="1:114" s="26" customFormat="1" ht="18.75" customHeight="1">
      <c r="A124" s="52">
        <f>A123+1</f>
        <v>96</v>
      </c>
      <c r="B124" s="53">
        <f>+B123+1</f>
        <v>94</v>
      </c>
      <c r="C124" s="66" t="s">
        <v>300</v>
      </c>
      <c r="D124" s="72" t="s">
        <v>301</v>
      </c>
      <c r="E124" s="66" t="s">
        <v>50</v>
      </c>
      <c r="F124" s="68"/>
      <c r="G124" s="69"/>
      <c r="H124" s="94">
        <v>94711304</v>
      </c>
      <c r="I124" s="71"/>
      <c r="J124" s="22"/>
      <c r="K124" s="23"/>
      <c r="L124" s="23"/>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row>
    <row r="125" spans="1:114" s="26" customFormat="1" ht="28.5" customHeight="1">
      <c r="A125" s="115">
        <f>A124+1</f>
        <v>97</v>
      </c>
      <c r="B125" s="116">
        <f>+B124+1</f>
        <v>95</v>
      </c>
      <c r="C125" s="117" t="s">
        <v>305</v>
      </c>
      <c r="D125" s="118" t="s">
        <v>306</v>
      </c>
      <c r="E125" s="117" t="s">
        <v>122</v>
      </c>
      <c r="F125" s="119"/>
      <c r="G125" s="120"/>
      <c r="H125" s="121">
        <v>272040106</v>
      </c>
      <c r="I125" s="122"/>
      <c r="J125" s="22"/>
      <c r="K125" s="23"/>
      <c r="L125" s="23"/>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c r="DB125" s="25"/>
      <c r="DC125" s="25"/>
      <c r="DD125" s="25"/>
      <c r="DE125" s="25"/>
      <c r="DF125" s="25"/>
      <c r="DG125" s="25"/>
      <c r="DH125" s="25"/>
      <c r="DI125" s="25"/>
      <c r="DJ125" s="25"/>
    </row>
    <row r="126" spans="1:114" s="26" customFormat="1" ht="17.25" customHeight="1">
      <c r="A126" s="115">
        <f>A125+1</f>
        <v>98</v>
      </c>
      <c r="B126" s="116">
        <f>+B125+1</f>
        <v>96</v>
      </c>
      <c r="C126" s="117" t="s">
        <v>307</v>
      </c>
      <c r="D126" s="118" t="s">
        <v>308</v>
      </c>
      <c r="E126" s="117" t="s">
        <v>122</v>
      </c>
      <c r="F126" s="119"/>
      <c r="G126" s="120"/>
      <c r="H126" s="121">
        <v>12131848.35</v>
      </c>
      <c r="I126" s="122"/>
      <c r="J126" s="22"/>
      <c r="K126" s="23"/>
      <c r="L126" s="23"/>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25"/>
      <c r="CW126" s="25"/>
      <c r="CX126" s="25"/>
      <c r="CY126" s="25"/>
      <c r="CZ126" s="25"/>
      <c r="DA126" s="25"/>
      <c r="DB126" s="25"/>
      <c r="DC126" s="25"/>
      <c r="DD126" s="25"/>
      <c r="DE126" s="25"/>
      <c r="DF126" s="25"/>
      <c r="DG126" s="25"/>
      <c r="DH126" s="25"/>
      <c r="DI126" s="25"/>
      <c r="DJ126" s="25"/>
    </row>
    <row r="127" spans="1:114" s="26" customFormat="1" ht="15.75" customHeight="1">
      <c r="A127" s="105" t="s">
        <v>299</v>
      </c>
      <c r="B127" s="106"/>
      <c r="C127" s="106"/>
      <c r="D127" s="106"/>
      <c r="E127" s="18"/>
      <c r="F127" s="19"/>
      <c r="G127" s="19"/>
      <c r="H127" s="20">
        <f>SUM(H123:H126)</f>
        <v>387713258.35</v>
      </c>
      <c r="I127" s="21"/>
      <c r="J127" s="22"/>
      <c r="K127" s="23"/>
      <c r="L127" s="23"/>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25"/>
      <c r="DE127" s="25"/>
      <c r="DF127" s="25"/>
      <c r="DG127" s="25"/>
      <c r="DH127" s="25"/>
      <c r="DI127" s="25"/>
      <c r="DJ127" s="25"/>
    </row>
    <row r="128" spans="1:114" s="26" customFormat="1" ht="15.75" customHeight="1">
      <c r="A128" s="105" t="s">
        <v>85</v>
      </c>
      <c r="B128" s="106"/>
      <c r="C128" s="106"/>
      <c r="D128" s="106"/>
      <c r="E128" s="18"/>
      <c r="F128" s="19">
        <f>F14+F17+F21+F29+F31+F35+F37+F43+F48+F53+F62+F71+F81+F90+F96+F107+F116+F120+F122</f>
        <v>1791302567.0461018</v>
      </c>
      <c r="G128" s="19"/>
      <c r="H128" s="19">
        <f>H14+H17+H21+H29+H31+H35+H37+H43+H48+H53+H62+H71+H81+H90+H96+H107+H116+H120+H122+H127</f>
        <v>29495396775.787506</v>
      </c>
      <c r="I128" s="21"/>
      <c r="J128" s="22"/>
      <c r="K128" s="23"/>
      <c r="L128" s="23"/>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c r="CE128" s="25"/>
      <c r="CF128" s="25"/>
      <c r="CG128" s="25"/>
      <c r="CH128" s="25"/>
      <c r="CI128" s="25"/>
      <c r="CJ128" s="25"/>
      <c r="CK128" s="25"/>
      <c r="CL128" s="25"/>
      <c r="CM128" s="25"/>
      <c r="CN128" s="25"/>
      <c r="CO128" s="25"/>
      <c r="CP128" s="25"/>
      <c r="CQ128" s="25"/>
      <c r="CR128" s="25"/>
      <c r="CS128" s="25"/>
      <c r="CT128" s="25"/>
      <c r="CU128" s="25"/>
      <c r="CV128" s="25"/>
      <c r="CW128" s="25"/>
      <c r="CX128" s="25"/>
      <c r="CY128" s="25"/>
      <c r="CZ128" s="25"/>
      <c r="DA128" s="25"/>
      <c r="DB128" s="25"/>
      <c r="DC128" s="25"/>
      <c r="DD128" s="25"/>
      <c r="DE128" s="25"/>
      <c r="DF128" s="25"/>
      <c r="DG128" s="25"/>
      <c r="DH128" s="25"/>
      <c r="DI128" s="25"/>
      <c r="DJ128" s="25"/>
    </row>
    <row r="129" spans="1:114" s="26" customFormat="1" ht="15.75" customHeight="1">
      <c r="A129" s="105" t="s">
        <v>46</v>
      </c>
      <c r="B129" s="106"/>
      <c r="C129" s="106"/>
      <c r="D129" s="106"/>
      <c r="E129" s="18"/>
      <c r="F129" s="19">
        <f>+F10+F128</f>
        <v>1826402567.0461018</v>
      </c>
      <c r="G129" s="19"/>
      <c r="H129" s="20">
        <f>+H10+H128</f>
        <v>29674396775.787506</v>
      </c>
      <c r="I129" s="21"/>
      <c r="J129" s="22">
        <f>F129+H129</f>
        <v>31500799342.833607</v>
      </c>
      <c r="K129" s="23"/>
      <c r="L129" s="23"/>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c r="CC129" s="25"/>
      <c r="CD129" s="25"/>
      <c r="CE129" s="25"/>
      <c r="CF129" s="25"/>
      <c r="CG129" s="25"/>
      <c r="CH129" s="25"/>
      <c r="CI129" s="25"/>
      <c r="CJ129" s="25"/>
      <c r="CK129" s="25"/>
      <c r="CL129" s="25"/>
      <c r="CM129" s="25"/>
      <c r="CN129" s="25"/>
      <c r="CO129" s="25"/>
      <c r="CP129" s="25"/>
      <c r="CQ129" s="25"/>
      <c r="CR129" s="25"/>
      <c r="CS129" s="25"/>
      <c r="CT129" s="25"/>
      <c r="CU129" s="25"/>
      <c r="CV129" s="25"/>
      <c r="CW129" s="25"/>
      <c r="CX129" s="25"/>
      <c r="CY129" s="25"/>
      <c r="CZ129" s="25"/>
      <c r="DA129" s="25"/>
      <c r="DB129" s="25"/>
      <c r="DC129" s="25"/>
      <c r="DD129" s="25"/>
      <c r="DE129" s="25"/>
      <c r="DF129" s="25"/>
      <c r="DG129" s="25"/>
      <c r="DH129" s="25"/>
      <c r="DI129" s="25"/>
      <c r="DJ129" s="25"/>
    </row>
    <row r="131" spans="2:10" ht="15.75" customHeight="1">
      <c r="B131" s="81" t="s">
        <v>18</v>
      </c>
      <c r="C131" s="90"/>
      <c r="D131" s="82"/>
      <c r="E131" s="83"/>
      <c r="F131" s="84"/>
      <c r="G131" s="83"/>
      <c r="H131" s="85"/>
      <c r="I131" s="32"/>
      <c r="J131" s="23"/>
    </row>
    <row r="132" spans="2:10" ht="15.75" customHeight="1">
      <c r="B132" s="86" t="s">
        <v>147</v>
      </c>
      <c r="C132" s="98" t="s">
        <v>19</v>
      </c>
      <c r="D132" s="98"/>
      <c r="E132" s="98"/>
      <c r="F132" s="98"/>
      <c r="G132" s="98"/>
      <c r="H132" s="98"/>
      <c r="I132" s="98"/>
      <c r="J132" s="32"/>
    </row>
    <row r="133" spans="2:10" ht="31.5" customHeight="1">
      <c r="B133" s="88" t="s">
        <v>155</v>
      </c>
      <c r="C133" s="98" t="s">
        <v>153</v>
      </c>
      <c r="D133" s="98"/>
      <c r="E133" s="98"/>
      <c r="F133" s="98"/>
      <c r="G133" s="98"/>
      <c r="H133" s="98"/>
      <c r="I133" s="98"/>
      <c r="J133" s="32"/>
    </row>
    <row r="134" spans="2:10" ht="15.75" customHeight="1">
      <c r="B134" s="88" t="s">
        <v>156</v>
      </c>
      <c r="C134" s="98" t="s">
        <v>154</v>
      </c>
      <c r="D134" s="98"/>
      <c r="E134" s="98"/>
      <c r="F134" s="98"/>
      <c r="G134" s="98"/>
      <c r="H134" s="98"/>
      <c r="I134" s="98"/>
      <c r="J134" s="32"/>
    </row>
    <row r="135" spans="2:10" ht="70.5" customHeight="1">
      <c r="B135" s="88" t="s">
        <v>159</v>
      </c>
      <c r="C135" s="98" t="s">
        <v>160</v>
      </c>
      <c r="D135" s="98"/>
      <c r="E135" s="98"/>
      <c r="F135" s="98"/>
      <c r="G135" s="98"/>
      <c r="H135" s="98"/>
      <c r="I135" s="98"/>
      <c r="J135" s="32"/>
    </row>
    <row r="136" spans="2:10" ht="15.75" customHeight="1">
      <c r="B136" s="88" t="s">
        <v>165</v>
      </c>
      <c r="C136" s="98" t="s">
        <v>166</v>
      </c>
      <c r="D136" s="98"/>
      <c r="E136" s="98"/>
      <c r="F136" s="98"/>
      <c r="G136" s="98"/>
      <c r="H136" s="98"/>
      <c r="I136" s="98"/>
      <c r="J136" s="32"/>
    </row>
    <row r="137" spans="2:10" ht="15.75" customHeight="1">
      <c r="B137" s="88" t="s">
        <v>175</v>
      </c>
      <c r="C137" s="98" t="s">
        <v>176</v>
      </c>
      <c r="D137" s="98"/>
      <c r="E137" s="98"/>
      <c r="F137" s="98"/>
      <c r="G137" s="98"/>
      <c r="H137" s="98"/>
      <c r="I137" s="98"/>
      <c r="J137" s="32"/>
    </row>
    <row r="138" spans="2:10" ht="15.75" customHeight="1">
      <c r="B138" s="88" t="s">
        <v>177</v>
      </c>
      <c r="C138" s="98" t="s">
        <v>178</v>
      </c>
      <c r="D138" s="98"/>
      <c r="E138" s="98"/>
      <c r="F138" s="98"/>
      <c r="G138" s="98"/>
      <c r="H138" s="98"/>
      <c r="I138" s="98"/>
      <c r="J138" s="32"/>
    </row>
    <row r="139" spans="2:10" ht="30" customHeight="1">
      <c r="B139" s="88" t="s">
        <v>185</v>
      </c>
      <c r="C139" s="98" t="s">
        <v>229</v>
      </c>
      <c r="D139" s="98"/>
      <c r="E139" s="98"/>
      <c r="F139" s="98"/>
      <c r="G139" s="98"/>
      <c r="H139" s="98"/>
      <c r="I139" s="98"/>
      <c r="J139" s="32"/>
    </row>
    <row r="140" spans="2:10" ht="42.75" customHeight="1">
      <c r="B140" s="88" t="s">
        <v>242</v>
      </c>
      <c r="C140" s="98" t="s">
        <v>249</v>
      </c>
      <c r="D140" s="98"/>
      <c r="E140" s="98"/>
      <c r="F140" s="98"/>
      <c r="G140" s="98"/>
      <c r="H140" s="98"/>
      <c r="I140" s="98"/>
      <c r="J140" s="32"/>
    </row>
    <row r="141" spans="2:10" ht="69" customHeight="1">
      <c r="B141" s="88" t="s">
        <v>247</v>
      </c>
      <c r="C141" s="98" t="s">
        <v>250</v>
      </c>
      <c r="D141" s="98"/>
      <c r="E141" s="98"/>
      <c r="F141" s="98"/>
      <c r="G141" s="98"/>
      <c r="H141" s="98"/>
      <c r="I141" s="98"/>
      <c r="J141" s="32"/>
    </row>
    <row r="142" spans="2:10" ht="54" customHeight="1">
      <c r="B142" s="88" t="s">
        <v>248</v>
      </c>
      <c r="C142" s="98" t="s">
        <v>251</v>
      </c>
      <c r="D142" s="98"/>
      <c r="E142" s="98"/>
      <c r="F142" s="98"/>
      <c r="G142" s="98"/>
      <c r="H142" s="98"/>
      <c r="I142" s="98"/>
      <c r="J142" s="32"/>
    </row>
    <row r="143" spans="2:114" ht="14.25" customHeight="1">
      <c r="B143" s="97" t="s">
        <v>303</v>
      </c>
      <c r="C143" s="98" t="s">
        <v>304</v>
      </c>
      <c r="D143" s="98"/>
      <c r="E143" s="98"/>
      <c r="F143" s="98"/>
      <c r="G143" s="98"/>
      <c r="H143" s="98"/>
      <c r="I143" s="96"/>
      <c r="S143" s="1"/>
      <c r="T143" s="1"/>
      <c r="U143" s="1"/>
      <c r="AJ143" s="2"/>
      <c r="AK143" s="2"/>
      <c r="AL143" s="2"/>
      <c r="DH143" s="4"/>
      <c r="DI143" s="4"/>
      <c r="DJ143" s="4"/>
    </row>
    <row r="144" spans="2:10" ht="15.75" customHeight="1">
      <c r="B144" s="87" t="s">
        <v>73</v>
      </c>
      <c r="C144" s="98" t="s">
        <v>74</v>
      </c>
      <c r="D144" s="98"/>
      <c r="E144" s="98"/>
      <c r="F144" s="98"/>
      <c r="G144" s="98"/>
      <c r="H144" s="98"/>
      <c r="I144" s="98"/>
      <c r="J144" s="32"/>
    </row>
    <row r="145" spans="2:10" ht="15.75" customHeight="1">
      <c r="B145" s="87" t="s">
        <v>75</v>
      </c>
      <c r="C145" s="98" t="s">
        <v>76</v>
      </c>
      <c r="D145" s="98"/>
      <c r="E145" s="98"/>
      <c r="F145" s="98"/>
      <c r="G145" s="98"/>
      <c r="H145" s="98"/>
      <c r="I145" s="98"/>
      <c r="J145" s="32"/>
    </row>
    <row r="146" spans="2:10" ht="30.75" customHeight="1">
      <c r="B146" s="87" t="s">
        <v>77</v>
      </c>
      <c r="C146" s="98" t="s">
        <v>135</v>
      </c>
      <c r="D146" s="98"/>
      <c r="E146" s="98"/>
      <c r="F146" s="98"/>
      <c r="G146" s="98"/>
      <c r="H146" s="98"/>
      <c r="I146" s="98"/>
      <c r="J146" s="98"/>
    </row>
    <row r="147" spans="2:10" ht="30.75" customHeight="1">
      <c r="B147" s="87" t="s">
        <v>106</v>
      </c>
      <c r="C147" s="98" t="s">
        <v>136</v>
      </c>
      <c r="D147" s="98"/>
      <c r="E147" s="98"/>
      <c r="F147" s="98"/>
      <c r="G147" s="98"/>
      <c r="H147" s="98"/>
      <c r="I147" s="98"/>
      <c r="J147" s="98"/>
    </row>
    <row r="148" spans="2:10" ht="15.75" customHeight="1">
      <c r="B148" s="87" t="s">
        <v>108</v>
      </c>
      <c r="C148" s="98" t="s">
        <v>228</v>
      </c>
      <c r="D148" s="98"/>
      <c r="E148" s="98"/>
      <c r="F148" s="98"/>
      <c r="G148" s="98"/>
      <c r="H148" s="98"/>
      <c r="I148" s="98"/>
      <c r="J148" s="98"/>
    </row>
    <row r="149" spans="2:10" ht="15.75" customHeight="1">
      <c r="B149" s="87"/>
      <c r="C149" s="98"/>
      <c r="D149" s="98"/>
      <c r="E149" s="98"/>
      <c r="F149" s="98"/>
      <c r="G149" s="98"/>
      <c r="H149" s="98"/>
      <c r="I149" s="98"/>
      <c r="J149" s="98"/>
    </row>
    <row r="150" spans="2:10" ht="43.5" customHeight="1">
      <c r="B150" s="87" t="s">
        <v>86</v>
      </c>
      <c r="C150" s="98" t="s">
        <v>141</v>
      </c>
      <c r="D150" s="98"/>
      <c r="E150" s="98"/>
      <c r="F150" s="98"/>
      <c r="G150" s="98"/>
      <c r="H150" s="98"/>
      <c r="I150" s="98"/>
      <c r="J150" s="98"/>
    </row>
    <row r="151" spans="2:10" ht="15.75" customHeight="1">
      <c r="B151" s="87" t="s">
        <v>80</v>
      </c>
      <c r="C151" s="98" t="s">
        <v>72</v>
      </c>
      <c r="D151" s="98"/>
      <c r="E151" s="98"/>
      <c r="F151" s="98"/>
      <c r="G151" s="98"/>
      <c r="H151" s="98"/>
      <c r="I151" s="98"/>
      <c r="J151" s="98"/>
    </row>
    <row r="152" spans="2:10" ht="15.75" customHeight="1">
      <c r="B152" s="87" t="s">
        <v>93</v>
      </c>
      <c r="C152" s="98" t="s">
        <v>21</v>
      </c>
      <c r="D152" s="98"/>
      <c r="E152" s="98"/>
      <c r="F152" s="98"/>
      <c r="G152" s="98"/>
      <c r="H152" s="98"/>
      <c r="I152" s="98"/>
      <c r="J152" s="98"/>
    </row>
    <row r="153" spans="2:10" ht="15.75" customHeight="1">
      <c r="B153" s="87" t="s">
        <v>94</v>
      </c>
      <c r="C153" s="98" t="s">
        <v>90</v>
      </c>
      <c r="D153" s="98"/>
      <c r="E153" s="98"/>
      <c r="F153" s="98"/>
      <c r="G153" s="98"/>
      <c r="H153" s="98"/>
      <c r="I153" s="98"/>
      <c r="J153" s="98"/>
    </row>
    <row r="154" spans="2:10" ht="15.75" customHeight="1">
      <c r="B154" s="87" t="s">
        <v>89</v>
      </c>
      <c r="C154" s="98" t="s">
        <v>91</v>
      </c>
      <c r="D154" s="98"/>
      <c r="E154" s="98"/>
      <c r="F154" s="98"/>
      <c r="G154" s="98"/>
      <c r="H154" s="98"/>
      <c r="I154" s="98"/>
      <c r="J154" s="98"/>
    </row>
    <row r="155" spans="2:10" ht="27.75" customHeight="1">
      <c r="B155" s="87" t="s">
        <v>88</v>
      </c>
      <c r="C155" s="98" t="s">
        <v>142</v>
      </c>
      <c r="D155" s="98"/>
      <c r="E155" s="98"/>
      <c r="F155" s="98"/>
      <c r="G155" s="98"/>
      <c r="H155" s="98"/>
      <c r="I155" s="98"/>
      <c r="J155" s="98"/>
    </row>
    <row r="156" spans="2:10" ht="15.75" customHeight="1">
      <c r="B156" s="87" t="s">
        <v>63</v>
      </c>
      <c r="C156" s="98" t="s">
        <v>64</v>
      </c>
      <c r="D156" s="98"/>
      <c r="E156" s="98"/>
      <c r="F156" s="98"/>
      <c r="G156" s="98"/>
      <c r="H156" s="98"/>
      <c r="I156" s="98"/>
      <c r="J156" s="98"/>
    </row>
    <row r="157" spans="2:10" ht="15.75" customHeight="1">
      <c r="B157" s="87"/>
      <c r="C157" s="98" t="s">
        <v>65</v>
      </c>
      <c r="D157" s="98"/>
      <c r="E157" s="98"/>
      <c r="F157" s="98"/>
      <c r="G157" s="98"/>
      <c r="H157" s="98"/>
      <c r="I157" s="98"/>
      <c r="J157" s="98"/>
    </row>
    <row r="158" spans="2:10" ht="15.75" customHeight="1">
      <c r="B158" s="87" t="s">
        <v>34</v>
      </c>
      <c r="C158" s="98" t="s">
        <v>36</v>
      </c>
      <c r="D158" s="98"/>
      <c r="E158" s="98"/>
      <c r="F158" s="98"/>
      <c r="G158" s="98"/>
      <c r="H158" s="98"/>
      <c r="I158" s="98"/>
      <c r="J158" s="98"/>
    </row>
    <row r="159" spans="2:10" ht="15.75" customHeight="1">
      <c r="B159" s="87" t="s">
        <v>35</v>
      </c>
      <c r="C159" s="98" t="s">
        <v>37</v>
      </c>
      <c r="D159" s="98"/>
      <c r="E159" s="98"/>
      <c r="F159" s="98"/>
      <c r="G159" s="98"/>
      <c r="H159" s="98"/>
      <c r="I159" s="98"/>
      <c r="J159" s="98"/>
    </row>
    <row r="160" spans="2:10" ht="15.75" customHeight="1">
      <c r="B160" s="87" t="s">
        <v>42</v>
      </c>
      <c r="C160" s="98" t="s">
        <v>43</v>
      </c>
      <c r="D160" s="98"/>
      <c r="E160" s="98"/>
      <c r="F160" s="98"/>
      <c r="G160" s="98"/>
      <c r="H160" s="98"/>
      <c r="I160" s="98"/>
      <c r="J160" s="98"/>
    </row>
    <row r="161" spans="2:10" ht="15.75" customHeight="1">
      <c r="B161" s="87" t="s">
        <v>54</v>
      </c>
      <c r="C161" s="98" t="s">
        <v>55</v>
      </c>
      <c r="D161" s="98"/>
      <c r="E161" s="98"/>
      <c r="F161" s="98"/>
      <c r="G161" s="98"/>
      <c r="H161" s="98"/>
      <c r="I161" s="98"/>
      <c r="J161" s="98"/>
    </row>
    <row r="162" spans="2:10" ht="15.75" customHeight="1">
      <c r="B162" s="87"/>
      <c r="C162" s="98" t="s">
        <v>51</v>
      </c>
      <c r="D162" s="98"/>
      <c r="E162" s="98"/>
      <c r="F162" s="98"/>
      <c r="G162" s="98"/>
      <c r="H162" s="98"/>
      <c r="I162" s="98"/>
      <c r="J162" s="98"/>
    </row>
    <row r="163" spans="2:10" ht="30" customHeight="1">
      <c r="B163" s="87"/>
      <c r="C163" s="98" t="s">
        <v>52</v>
      </c>
      <c r="D163" s="98"/>
      <c r="E163" s="98"/>
      <c r="F163" s="98"/>
      <c r="G163" s="98"/>
      <c r="H163" s="98"/>
      <c r="I163" s="98"/>
      <c r="J163" s="98"/>
    </row>
    <row r="164" spans="2:10" ht="15.75" customHeight="1">
      <c r="B164" s="87" t="s">
        <v>125</v>
      </c>
      <c r="C164" s="98" t="s">
        <v>143</v>
      </c>
      <c r="D164" s="98"/>
      <c r="E164" s="98"/>
      <c r="F164" s="98"/>
      <c r="G164" s="98"/>
      <c r="H164" s="98"/>
      <c r="I164" s="98"/>
      <c r="J164" s="98"/>
    </row>
    <row r="165" spans="2:10" ht="28.5" customHeight="1">
      <c r="B165" s="87" t="s">
        <v>144</v>
      </c>
      <c r="C165" s="98" t="s">
        <v>145</v>
      </c>
      <c r="D165" s="98"/>
      <c r="E165" s="98"/>
      <c r="F165" s="98"/>
      <c r="G165" s="98"/>
      <c r="H165" s="98"/>
      <c r="I165" s="98"/>
      <c r="J165" s="98"/>
    </row>
    <row r="166" spans="2:10" ht="27" customHeight="1">
      <c r="B166" s="87" t="s">
        <v>56</v>
      </c>
      <c r="C166" s="98" t="s">
        <v>57</v>
      </c>
      <c r="D166" s="98"/>
      <c r="E166" s="98"/>
      <c r="F166" s="98"/>
      <c r="G166" s="98"/>
      <c r="H166" s="98"/>
      <c r="I166" s="98"/>
      <c r="J166" s="98"/>
    </row>
    <row r="167" spans="2:10" ht="42" customHeight="1">
      <c r="B167" s="89" t="s">
        <v>151</v>
      </c>
      <c r="C167" s="98" t="s">
        <v>172</v>
      </c>
      <c r="D167" s="98"/>
      <c r="E167" s="98"/>
      <c r="F167" s="98"/>
      <c r="G167" s="98"/>
      <c r="H167" s="98"/>
      <c r="I167" s="98"/>
      <c r="J167" s="98"/>
    </row>
    <row r="168" spans="2:10" ht="16.5" customHeight="1">
      <c r="B168" s="89" t="s">
        <v>260</v>
      </c>
      <c r="C168" s="98" t="s">
        <v>261</v>
      </c>
      <c r="D168" s="98"/>
      <c r="E168" s="98"/>
      <c r="F168" s="98"/>
      <c r="G168" s="98"/>
      <c r="H168" s="98"/>
      <c r="I168" s="98"/>
      <c r="J168" s="98"/>
    </row>
    <row r="169" spans="2:10" ht="17.25" customHeight="1">
      <c r="B169" s="89" t="s">
        <v>262</v>
      </c>
      <c r="C169" s="98" t="s">
        <v>263</v>
      </c>
      <c r="D169" s="98"/>
      <c r="E169" s="98"/>
      <c r="F169" s="98"/>
      <c r="G169" s="98"/>
      <c r="H169" s="98"/>
      <c r="I169" s="98"/>
      <c r="J169" s="98"/>
    </row>
    <row r="170" spans="2:10" ht="39.75" customHeight="1">
      <c r="B170" s="89" t="s">
        <v>296</v>
      </c>
      <c r="C170" s="98" t="s">
        <v>295</v>
      </c>
      <c r="D170" s="98"/>
      <c r="E170" s="98"/>
      <c r="F170" s="98"/>
      <c r="G170" s="98"/>
      <c r="H170" s="98"/>
      <c r="I170" s="98"/>
      <c r="J170" s="98"/>
    </row>
    <row r="171" spans="2:4" ht="15.75" customHeight="1">
      <c r="B171" s="110" t="s">
        <v>309</v>
      </c>
      <c r="C171" s="111"/>
      <c r="D171" s="111"/>
    </row>
  </sheetData>
  <sheetProtection/>
  <mergeCells count="69">
    <mergeCell ref="A81:D81"/>
    <mergeCell ref="C158:J158"/>
    <mergeCell ref="C132:I132"/>
    <mergeCell ref="C136:I136"/>
    <mergeCell ref="C146:J146"/>
    <mergeCell ref="A116:D116"/>
    <mergeCell ref="C134:I134"/>
    <mergeCell ref="A120:D120"/>
    <mergeCell ref="C161:J161"/>
    <mergeCell ref="C147:J147"/>
    <mergeCell ref="C148:J149"/>
    <mergeCell ref="C144:I144"/>
    <mergeCell ref="C145:I145"/>
    <mergeCell ref="A37:D37"/>
    <mergeCell ref="A43:D43"/>
    <mergeCell ref="A21:D21"/>
    <mergeCell ref="A29:D29"/>
    <mergeCell ref="A31:D31"/>
    <mergeCell ref="C140:I140"/>
    <mergeCell ref="A90:D90"/>
    <mergeCell ref="A53:D53"/>
    <mergeCell ref="A96:D96"/>
    <mergeCell ref="A107:D107"/>
    <mergeCell ref="B171:D171"/>
    <mergeCell ref="C166:J166"/>
    <mergeCell ref="C133:I133"/>
    <mergeCell ref="C135:I135"/>
    <mergeCell ref="C139:I139"/>
    <mergeCell ref="C151:J151"/>
    <mergeCell ref="C160:J160"/>
    <mergeCell ref="C164:J164"/>
    <mergeCell ref="C159:J159"/>
    <mergeCell ref="C157:J157"/>
    <mergeCell ref="C163:J163"/>
    <mergeCell ref="C143:H143"/>
    <mergeCell ref="C162:J162"/>
    <mergeCell ref="A129:D129"/>
    <mergeCell ref="A10:D10"/>
    <mergeCell ref="A14:D14"/>
    <mergeCell ref="A17:D17"/>
    <mergeCell ref="A62:D62"/>
    <mergeCell ref="A48:D48"/>
    <mergeCell ref="A35:D35"/>
    <mergeCell ref="C154:J154"/>
    <mergeCell ref="A122:D122"/>
    <mergeCell ref="C153:J153"/>
    <mergeCell ref="C156:J156"/>
    <mergeCell ref="C150:J150"/>
    <mergeCell ref="C155:J155"/>
    <mergeCell ref="A4:I4"/>
    <mergeCell ref="A5:B5"/>
    <mergeCell ref="F5:G5"/>
    <mergeCell ref="H5:I5"/>
    <mergeCell ref="A128:D128"/>
    <mergeCell ref="A11:I11"/>
    <mergeCell ref="A127:D127"/>
    <mergeCell ref="A71:D71"/>
    <mergeCell ref="A6:I6"/>
    <mergeCell ref="A7:I7"/>
    <mergeCell ref="C170:J170"/>
    <mergeCell ref="C168:J168"/>
    <mergeCell ref="C169:J169"/>
    <mergeCell ref="C138:I138"/>
    <mergeCell ref="C137:I137"/>
    <mergeCell ref="C165:J165"/>
    <mergeCell ref="C141:I141"/>
    <mergeCell ref="C142:I142"/>
    <mergeCell ref="C167:J167"/>
    <mergeCell ref="C152:J152"/>
  </mergeCells>
  <printOptions horizontalCentered="1"/>
  <pageMargins left="0" right="0" top="0.4330708661417323" bottom="0.8267716535433072" header="0.1968503937007874" footer="0.1968503937007874"/>
  <pageSetup firstPageNumber="113" useFirstPageNumber="1" fitToHeight="0" fitToWidth="1" horizontalDpi="600" verticalDpi="600" orientation="portrait" paperSize="9" scale="6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COPRI</dc:creator>
  <cp:keywords/>
  <dc:description/>
  <cp:lastModifiedBy>Jaime Cueva Llanos</cp:lastModifiedBy>
  <cp:lastPrinted>2017-07-19T21:23:59Z</cp:lastPrinted>
  <dcterms:created xsi:type="dcterms:W3CDTF">1997-07-03T17:36:28Z</dcterms:created>
  <dcterms:modified xsi:type="dcterms:W3CDTF">2018-02-27T20:42:48Z</dcterms:modified>
  <cp:category/>
  <cp:version/>
  <cp:contentType/>
  <cp:contentStatus/>
</cp:coreProperties>
</file>